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0FEEC17B-EC23-4CB6-8769-175B709DC2C8}" xr6:coauthVersionLast="47" xr6:coauthVersionMax="47" xr10:uidLastSave="{00000000-0000-0000-0000-000000000000}"/>
  <bookViews>
    <workbookView xWindow="-120" yWindow="-120" windowWidth="29040" windowHeight="15720" activeTab="3" xr2:uid="{00000000-000D-0000-FFFF-FFFF00000000}"/>
  </bookViews>
  <sheets>
    <sheet name="Aide" sheetId="7" r:id="rId1"/>
    <sheet name="Formulaire_Fr" sheetId="1" r:id="rId2"/>
    <sheet name="Hilfe" sheetId="8" r:id="rId3"/>
    <sheet name="Formular_De" sheetId="6" r:id="rId4"/>
    <sheet name="calculs" sheetId="2" state="veryHidden" r:id="rId5"/>
  </sheets>
  <definedNames>
    <definedName name="_xlnm._FilterDatabase" localSheetId="1" hidden="1">Formulaire_Fr!$AX$2:$BJ$2</definedName>
    <definedName name="_xlnm._FilterDatabase" localSheetId="3" hidden="1">Formular_De!$AV$3:$BJ$3</definedName>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45" i="6" l="1"/>
  <c r="BC44" i="6"/>
  <c r="BC43" i="6"/>
  <c r="BC42" i="6"/>
  <c r="BC41" i="6"/>
  <c r="BC40" i="6"/>
  <c r="BC39" i="6"/>
  <c r="BC18" i="6"/>
  <c r="BC19" i="6"/>
  <c r="BC20" i="6"/>
  <c r="BC21" i="6"/>
  <c r="BC22" i="6"/>
  <c r="BC23" i="6"/>
  <c r="BC24" i="6"/>
  <c r="BC39" i="1"/>
  <c r="BC40" i="1"/>
  <c r="BC41" i="1"/>
  <c r="BC42" i="1"/>
  <c r="BC43" i="1"/>
  <c r="BC44" i="1"/>
  <c r="BC45" i="1"/>
  <c r="BC19" i="1"/>
  <c r="BC20" i="1"/>
  <c r="BC21" i="1"/>
  <c r="BC22" i="1"/>
  <c r="BC23" i="1"/>
  <c r="BC24" i="1"/>
  <c r="BC18" i="1"/>
  <c r="AK45" i="6"/>
  <c r="AK12" i="6"/>
  <c r="Y25" i="6" l="1"/>
  <c r="W75" i="6" l="1"/>
  <c r="W74" i="6"/>
  <c r="T21" i="6"/>
  <c r="Y27" i="6" l="1"/>
  <c r="Y28" i="6"/>
  <c r="BC402" i="6" l="1"/>
  <c r="BC401" i="6"/>
  <c r="BC400" i="6"/>
  <c r="BC399" i="6"/>
  <c r="BC398" i="6"/>
  <c r="BC397" i="6"/>
  <c r="BC396" i="6"/>
  <c r="BC395" i="6"/>
  <c r="BC394" i="6"/>
  <c r="BC393" i="6"/>
  <c r="BC392" i="6"/>
  <c r="BC391" i="6"/>
  <c r="BC390" i="6"/>
  <c r="BC389" i="6"/>
  <c r="BC388" i="6"/>
  <c r="BC387" i="6"/>
  <c r="BC386" i="6"/>
  <c r="BC385" i="6"/>
  <c r="BC384" i="6"/>
  <c r="BC383" i="6"/>
  <c r="BC382" i="6"/>
  <c r="BC381" i="6"/>
  <c r="BC380" i="6"/>
  <c r="BC379" i="6"/>
  <c r="BC378" i="6"/>
  <c r="BC377" i="6"/>
  <c r="BC376" i="6"/>
  <c r="BC375" i="6"/>
  <c r="BC374" i="6"/>
  <c r="BC373" i="6"/>
  <c r="BC372" i="6"/>
  <c r="BC371" i="6"/>
  <c r="BC370" i="6"/>
  <c r="BC369" i="6"/>
  <c r="BC368" i="6"/>
  <c r="BC367" i="6"/>
  <c r="BC366" i="6"/>
  <c r="BC365" i="6"/>
  <c r="BC364" i="6"/>
  <c r="BC363" i="6"/>
  <c r="BC362" i="6"/>
  <c r="BC361" i="6"/>
  <c r="BC360" i="6"/>
  <c r="BC359" i="6"/>
  <c r="BC358" i="6"/>
  <c r="BC357" i="6"/>
  <c r="BC356" i="6"/>
  <c r="BC355" i="6"/>
  <c r="BC354" i="6"/>
  <c r="BC353" i="6"/>
  <c r="BC352" i="6"/>
  <c r="BC351" i="6"/>
  <c r="BC350" i="6"/>
  <c r="BC349" i="6"/>
  <c r="BC348" i="6"/>
  <c r="BC347" i="6"/>
  <c r="BC346" i="6"/>
  <c r="BC345" i="6"/>
  <c r="BC344" i="6"/>
  <c r="BC343" i="6"/>
  <c r="BC342" i="6"/>
  <c r="BC341" i="6"/>
  <c r="BC340" i="6"/>
  <c r="BC339" i="6"/>
  <c r="BC338" i="6"/>
  <c r="BC337" i="6"/>
  <c r="BC336" i="6"/>
  <c r="BC335" i="6"/>
  <c r="BC334" i="6"/>
  <c r="BC333" i="6"/>
  <c r="BC332" i="6"/>
  <c r="BC331" i="6"/>
  <c r="BC330" i="6"/>
  <c r="BC329" i="6"/>
  <c r="BC328" i="6"/>
  <c r="BC327" i="6"/>
  <c r="BC326" i="6"/>
  <c r="BC325" i="6"/>
  <c r="BC324" i="6"/>
  <c r="BC323" i="6"/>
  <c r="BC322" i="6"/>
  <c r="BC321" i="6"/>
  <c r="BC320" i="6"/>
  <c r="BC319" i="6"/>
  <c r="BC318" i="6"/>
  <c r="BC317" i="6"/>
  <c r="BC316" i="6"/>
  <c r="BC315" i="6"/>
  <c r="BC314" i="6"/>
  <c r="BC313" i="6"/>
  <c r="BC311" i="6"/>
  <c r="BC310" i="6"/>
  <c r="BC309" i="6"/>
  <c r="BC308" i="6"/>
  <c r="BC307" i="6"/>
  <c r="BC306" i="6"/>
  <c r="BC305" i="6"/>
  <c r="BC304" i="6"/>
  <c r="BC303" i="6"/>
  <c r="BC302" i="6"/>
  <c r="BC301" i="6"/>
  <c r="BC300" i="6"/>
  <c r="BC299" i="6"/>
  <c r="BC298" i="6"/>
  <c r="BC297" i="6"/>
  <c r="BC296" i="6"/>
  <c r="BC295" i="6"/>
  <c r="BC294" i="6"/>
  <c r="BC293" i="6"/>
  <c r="BC292" i="6"/>
  <c r="BC291" i="6"/>
  <c r="BC290" i="6"/>
  <c r="BC289" i="6"/>
  <c r="BC288" i="6"/>
  <c r="BC287" i="6"/>
  <c r="BC286" i="6"/>
  <c r="BC285" i="6"/>
  <c r="BC284" i="6"/>
  <c r="BC283" i="6"/>
  <c r="BC282" i="6"/>
  <c r="BC281" i="6"/>
  <c r="BC280" i="6"/>
  <c r="BC279" i="6"/>
  <c r="BC278" i="6"/>
  <c r="BC277" i="6"/>
  <c r="BC276" i="6"/>
  <c r="BC275" i="6"/>
  <c r="BC274" i="6"/>
  <c r="BC273" i="6"/>
  <c r="BC272" i="6"/>
  <c r="BC271" i="6"/>
  <c r="BC270" i="6"/>
  <c r="BC269" i="6"/>
  <c r="BC268" i="6"/>
  <c r="BC267" i="6"/>
  <c r="BC266" i="6"/>
  <c r="BC265" i="6"/>
  <c r="BC264" i="6"/>
  <c r="BC263" i="6"/>
  <c r="BC262" i="6"/>
  <c r="BC261" i="6"/>
  <c r="BC260" i="6"/>
  <c r="BC259" i="6"/>
  <c r="BC258" i="6"/>
  <c r="BC257" i="6"/>
  <c r="BC256" i="6"/>
  <c r="BC255" i="6"/>
  <c r="BC254" i="6"/>
  <c r="BC253" i="6"/>
  <c r="BC252" i="6"/>
  <c r="BC251" i="6"/>
  <c r="BC250" i="6"/>
  <c r="BC249" i="6"/>
  <c r="BC248" i="6"/>
  <c r="BC247" i="6"/>
  <c r="BC246" i="6"/>
  <c r="BC245" i="6"/>
  <c r="BC244" i="6"/>
  <c r="BC243" i="6"/>
  <c r="BC242" i="6"/>
  <c r="BC241" i="6"/>
  <c r="BC240" i="6"/>
  <c r="BC239" i="6"/>
  <c r="BC238" i="6"/>
  <c r="BC237" i="6"/>
  <c r="BC236" i="6"/>
  <c r="BC235" i="6"/>
  <c r="BC234" i="6"/>
  <c r="BC233" i="6"/>
  <c r="BC232" i="6"/>
  <c r="BC231" i="6"/>
  <c r="BC230" i="6"/>
  <c r="BC229" i="6"/>
  <c r="BC228" i="6"/>
  <c r="BC227" i="6"/>
  <c r="BC226" i="6"/>
  <c r="BC225" i="6"/>
  <c r="BC224" i="6"/>
  <c r="BC223" i="6"/>
  <c r="BC222" i="6"/>
  <c r="BC221" i="6"/>
  <c r="BC220" i="6"/>
  <c r="BC219" i="6"/>
  <c r="BC218" i="6"/>
  <c r="BC217" i="6"/>
  <c r="BC216" i="6"/>
  <c r="BC215" i="6"/>
  <c r="BC214" i="6"/>
  <c r="BC213" i="6"/>
  <c r="BC212" i="6"/>
  <c r="BC211" i="6"/>
  <c r="BC210" i="6"/>
  <c r="BC209" i="6"/>
  <c r="BC208" i="6"/>
  <c r="BC207" i="6"/>
  <c r="BC206" i="6"/>
  <c r="BC205" i="6"/>
  <c r="BC204" i="6"/>
  <c r="BC203" i="6"/>
  <c r="BC202" i="6"/>
  <c r="BC201" i="6"/>
  <c r="BC200" i="6"/>
  <c r="BC199" i="6"/>
  <c r="BC198" i="6"/>
  <c r="BC197" i="6"/>
  <c r="BC196" i="6"/>
  <c r="BC195" i="6"/>
  <c r="BC194" i="6"/>
  <c r="BC193" i="6"/>
  <c r="BC192" i="6"/>
  <c r="BC191" i="6"/>
  <c r="BC190" i="6"/>
  <c r="BC189" i="6"/>
  <c r="BC188" i="6"/>
  <c r="BC187" i="6"/>
  <c r="BC186" i="6"/>
  <c r="BC185" i="6"/>
  <c r="BC184" i="6"/>
  <c r="BC183" i="6"/>
  <c r="BC182" i="6"/>
  <c r="BC181" i="6"/>
  <c r="BC180" i="6"/>
  <c r="BC179" i="6"/>
  <c r="BC178" i="6"/>
  <c r="BC177" i="6"/>
  <c r="BC176" i="6"/>
  <c r="BC175" i="6"/>
  <c r="BC174" i="6"/>
  <c r="BC173" i="6"/>
  <c r="BC172" i="6"/>
  <c r="BC171" i="6"/>
  <c r="BC170" i="6"/>
  <c r="BC169" i="6"/>
  <c r="BC168" i="6"/>
  <c r="BC167" i="6"/>
  <c r="BC166" i="6"/>
  <c r="BC165" i="6"/>
  <c r="BC164" i="6"/>
  <c r="BC163" i="6"/>
  <c r="BC162" i="6"/>
  <c r="BC161" i="6"/>
  <c r="BC160" i="6"/>
  <c r="BC159" i="6"/>
  <c r="BC158" i="6"/>
  <c r="K145" i="6"/>
  <c r="BC157" i="6"/>
  <c r="BC156" i="6"/>
  <c r="BC155" i="6"/>
  <c r="BC154" i="6"/>
  <c r="BC153" i="6"/>
  <c r="BC152" i="6"/>
  <c r="BC151" i="6"/>
  <c r="BC150" i="6"/>
  <c r="BC149" i="6"/>
  <c r="BC148" i="6"/>
  <c r="BC147" i="6"/>
  <c r="BC146" i="6"/>
  <c r="BC145" i="6"/>
  <c r="BC144" i="6"/>
  <c r="BC143" i="6"/>
  <c r="BC142" i="6"/>
  <c r="BC141" i="6"/>
  <c r="BC140" i="6"/>
  <c r="BC139" i="6"/>
  <c r="BC138" i="6"/>
  <c r="BC137" i="6"/>
  <c r="BC136" i="6"/>
  <c r="BC135" i="6"/>
  <c r="BC134" i="6"/>
  <c r="BC133" i="6"/>
  <c r="BC132" i="6"/>
  <c r="BC131" i="6"/>
  <c r="BC130" i="6"/>
  <c r="BC129" i="6"/>
  <c r="BC128" i="6"/>
  <c r="BC127" i="6"/>
  <c r="BC126" i="6"/>
  <c r="BC125" i="6"/>
  <c r="BC124" i="6"/>
  <c r="BC123" i="6"/>
  <c r="BC122" i="6"/>
  <c r="BC121" i="6"/>
  <c r="BC120" i="6"/>
  <c r="BC119" i="6"/>
  <c r="BC118" i="6"/>
  <c r="BC117" i="6"/>
  <c r="BC116" i="6"/>
  <c r="BC115" i="6"/>
  <c r="BC114" i="6"/>
  <c r="BC113" i="6"/>
  <c r="BC112" i="6"/>
  <c r="BC111" i="6"/>
  <c r="BC110" i="6"/>
  <c r="BC109" i="6"/>
  <c r="BC108" i="6"/>
  <c r="BC107" i="6"/>
  <c r="BC106" i="6"/>
  <c r="BC105" i="6"/>
  <c r="BC104" i="6"/>
  <c r="BC103" i="6"/>
  <c r="BC102" i="6"/>
  <c r="BC101" i="6"/>
  <c r="BC100" i="6"/>
  <c r="BC99" i="6"/>
  <c r="BC98" i="6"/>
  <c r="BC97" i="6"/>
  <c r="BC96" i="6"/>
  <c r="BC95" i="6"/>
  <c r="BC94" i="6"/>
  <c r="BC93" i="6"/>
  <c r="BC92" i="6"/>
  <c r="BC91" i="6"/>
  <c r="BC90" i="6"/>
  <c r="BC89" i="6"/>
  <c r="BC88" i="6"/>
  <c r="BC87" i="6"/>
  <c r="BC86" i="6"/>
  <c r="BC85" i="6"/>
  <c r="BC84" i="6"/>
  <c r="BC83" i="6"/>
  <c r="BC82" i="6"/>
  <c r="BC81" i="6"/>
  <c r="BC80" i="6"/>
  <c r="BC79" i="6"/>
  <c r="BC78" i="6"/>
  <c r="BC77" i="6"/>
  <c r="BC76" i="6"/>
  <c r="BC75" i="6"/>
  <c r="BC74" i="6"/>
  <c r="BC73" i="6"/>
  <c r="BC72" i="6"/>
  <c r="BC71" i="6"/>
  <c r="BC70" i="6"/>
  <c r="BC69" i="6"/>
  <c r="BC68" i="6"/>
  <c r="BC67" i="6"/>
  <c r="BC66" i="6"/>
  <c r="BC65" i="6"/>
  <c r="BC64" i="6"/>
  <c r="BC63" i="6"/>
  <c r="BC62" i="6"/>
  <c r="AN48" i="6"/>
  <c r="G49" i="6" s="1"/>
  <c r="BC61" i="6"/>
  <c r="BC60" i="6"/>
  <c r="BC59" i="6"/>
  <c r="BC58" i="6"/>
  <c r="BC57" i="6"/>
  <c r="BC56" i="6"/>
  <c r="BC55" i="6"/>
  <c r="BC54" i="6"/>
  <c r="BC53" i="6"/>
  <c r="BC52" i="6"/>
  <c r="BC51" i="6"/>
  <c r="BC50" i="6"/>
  <c r="BC49" i="6"/>
  <c r="BC48" i="6"/>
  <c r="BC47" i="6"/>
  <c r="BC46" i="6"/>
  <c r="Y32" i="6"/>
  <c r="BC38" i="6"/>
  <c r="Y31" i="6"/>
  <c r="BC37" i="6"/>
  <c r="BC36" i="6"/>
  <c r="BC35" i="6"/>
  <c r="BC34" i="6"/>
  <c r="BC33" i="6"/>
  <c r="BC32" i="6"/>
  <c r="BC31" i="6"/>
  <c r="BC30" i="6"/>
  <c r="BC29" i="6"/>
  <c r="BC28" i="6"/>
  <c r="BC27" i="6"/>
  <c r="BC26" i="6"/>
  <c r="AN19" i="6"/>
  <c r="V19" i="6" s="1"/>
  <c r="BC25" i="6"/>
  <c r="BC17" i="6"/>
  <c r="BC16" i="6"/>
  <c r="BC15" i="6"/>
  <c r="BC14" i="6"/>
  <c r="AR14" i="6"/>
  <c r="AQ14" i="6"/>
  <c r="BC13" i="6"/>
  <c r="AR12" i="6"/>
  <c r="AQ12" i="6"/>
  <c r="BC11" i="6"/>
  <c r="BC10" i="6"/>
  <c r="BC9" i="6"/>
  <c r="BC8" i="6"/>
  <c r="BC7" i="6"/>
  <c r="BC6" i="6"/>
  <c r="BC5" i="6"/>
  <c r="BC4" i="6"/>
  <c r="BC3" i="6"/>
  <c r="T54" i="6" l="1"/>
  <c r="L18" i="6"/>
  <c r="AF66" i="6"/>
  <c r="AF59" i="6"/>
  <c r="T59" i="6"/>
  <c r="AF64" i="6"/>
  <c r="AF58" i="6"/>
  <c r="T58" i="6"/>
  <c r="T66" i="6"/>
  <c r="AF57" i="6"/>
  <c r="T57" i="6"/>
  <c r="T64" i="6"/>
  <c r="AF56" i="6"/>
  <c r="T56" i="6"/>
  <c r="T65" i="6"/>
  <c r="T55" i="6"/>
  <c r="AF65" i="6"/>
  <c r="AF54" i="6"/>
  <c r="AF61" i="6"/>
  <c r="T61" i="6"/>
  <c r="T60" i="6"/>
  <c r="AF55" i="6"/>
  <c r="AF60" i="6"/>
  <c r="P46" i="6"/>
  <c r="AN47" i="6" s="1"/>
  <c r="AN19" i="1"/>
  <c r="AK45" i="1" l="1"/>
  <c r="V19" i="1" l="1"/>
  <c r="Y32" i="1" l="1"/>
  <c r="N17" i="2" l="1"/>
  <c r="N18" i="2"/>
  <c r="N19" i="2"/>
  <c r="N20" i="2"/>
  <c r="N21" i="2"/>
  <c r="N22" i="2"/>
  <c r="N23" i="2"/>
  <c r="N24" i="2"/>
  <c r="N25" i="2"/>
  <c r="N26" i="2"/>
  <c r="N27" i="2"/>
  <c r="N28" i="2"/>
  <c r="N29" i="2"/>
  <c r="N30" i="2"/>
  <c r="N31" i="2"/>
  <c r="N32" i="2"/>
  <c r="N33" i="2"/>
  <c r="N34" i="2"/>
  <c r="N35" i="2"/>
  <c r="N16" i="2"/>
  <c r="Y31" i="1" l="1"/>
  <c r="Y25" i="1"/>
  <c r="T21" i="1"/>
  <c r="S12" i="1"/>
  <c r="BC298" i="1" l="1"/>
  <c r="BC299" i="1"/>
  <c r="BC300" i="1"/>
  <c r="BC301" i="1"/>
  <c r="BC302" i="1"/>
  <c r="BC303" i="1"/>
  <c r="BC304" i="1"/>
  <c r="BC305" i="1"/>
  <c r="BC306" i="1"/>
  <c r="BC307" i="1"/>
  <c r="BC308" i="1"/>
  <c r="BC309" i="1"/>
  <c r="BC310" i="1"/>
  <c r="BC311" i="1"/>
  <c r="BC256" i="1"/>
  <c r="BC257" i="1"/>
  <c r="BC258" i="1"/>
  <c r="BC259" i="1"/>
  <c r="BC260" i="1"/>
  <c r="BC261" i="1"/>
  <c r="BC262" i="1"/>
  <c r="BC263" i="1"/>
  <c r="BC264" i="1"/>
  <c r="BC248" i="1"/>
  <c r="BC249" i="1"/>
  <c r="BC250" i="1"/>
  <c r="BC251" i="1"/>
  <c r="BC252" i="1"/>
  <c r="BC253" i="1"/>
  <c r="BC254" i="1"/>
  <c r="BC255" i="1"/>
  <c r="BC265" i="1"/>
  <c r="BC266" i="1"/>
  <c r="BC267" i="1"/>
  <c r="BC268" i="1"/>
  <c r="BC269" i="1"/>
  <c r="BC270" i="1"/>
  <c r="BC271" i="1"/>
  <c r="BC272" i="1"/>
  <c r="BC273" i="1"/>
  <c r="BC274" i="1"/>
  <c r="BC275" i="1"/>
  <c r="BC276" i="1"/>
  <c r="BC277" i="1"/>
  <c r="BC278" i="1"/>
  <c r="BC279" i="1"/>
  <c r="BC280" i="1"/>
  <c r="BC281" i="1"/>
  <c r="BC282" i="1"/>
  <c r="BC283" i="1"/>
  <c r="BC284" i="1"/>
  <c r="BC285" i="1"/>
  <c r="BC286" i="1"/>
  <c r="BC287" i="1"/>
  <c r="BC288" i="1"/>
  <c r="BC289" i="1"/>
  <c r="BC290" i="1"/>
  <c r="BC291" i="1"/>
  <c r="BC292" i="1"/>
  <c r="BC293" i="1"/>
  <c r="BC294" i="1"/>
  <c r="BC295" i="1"/>
  <c r="BC296" i="1"/>
  <c r="BC297" i="1"/>
  <c r="BC313" i="1"/>
  <c r="BC314" i="1"/>
  <c r="BC315" i="1"/>
  <c r="BC316" i="1"/>
  <c r="BC317" i="1"/>
  <c r="BC318" i="1"/>
  <c r="BC319" i="1"/>
  <c r="BC320" i="1"/>
  <c r="BC321" i="1"/>
  <c r="BC322" i="1"/>
  <c r="BC323" i="1"/>
  <c r="BC324" i="1"/>
  <c r="BC325" i="1"/>
  <c r="BC326" i="1"/>
  <c r="BC327" i="1"/>
  <c r="BC328" i="1"/>
  <c r="BC329" i="1"/>
  <c r="BC330" i="1"/>
  <c r="BC331" i="1"/>
  <c r="BC332" i="1"/>
  <c r="BC333" i="1"/>
  <c r="BC334" i="1"/>
  <c r="BC335" i="1"/>
  <c r="BC336" i="1"/>
  <c r="BC337" i="1"/>
  <c r="BC338" i="1"/>
  <c r="BC339" i="1"/>
  <c r="BC340" i="1"/>
  <c r="BC341" i="1"/>
  <c r="BC342" i="1"/>
  <c r="BC343" i="1"/>
  <c r="BC344" i="1"/>
  <c r="BC345" i="1"/>
  <c r="BC346" i="1"/>
  <c r="BC347" i="1"/>
  <c r="BC348" i="1"/>
  <c r="BC349" i="1"/>
  <c r="BC350" i="1"/>
  <c r="BC351" i="1"/>
  <c r="BC352" i="1"/>
  <c r="BC353" i="1"/>
  <c r="BC354" i="1"/>
  <c r="BC355" i="1"/>
  <c r="BC356" i="1"/>
  <c r="BC357" i="1"/>
  <c r="BC358" i="1"/>
  <c r="BC359" i="1"/>
  <c r="BC360" i="1"/>
  <c r="BC361" i="1"/>
  <c r="BC362" i="1"/>
  <c r="BC363" i="1"/>
  <c r="BC364" i="1"/>
  <c r="BC365" i="1"/>
  <c r="BC366" i="1"/>
  <c r="BC367" i="1"/>
  <c r="BC368" i="1"/>
  <c r="BC369" i="1"/>
  <c r="BC370" i="1"/>
  <c r="BC371" i="1"/>
  <c r="BC372" i="1"/>
  <c r="BC373" i="1"/>
  <c r="BC374" i="1"/>
  <c r="BC375" i="1"/>
  <c r="BC376" i="1"/>
  <c r="BC377" i="1"/>
  <c r="BC378" i="1"/>
  <c r="BC379" i="1"/>
  <c r="BC380" i="1"/>
  <c r="BC381" i="1"/>
  <c r="BC382" i="1"/>
  <c r="BC383" i="1"/>
  <c r="BC384" i="1"/>
  <c r="BC385" i="1"/>
  <c r="BC386" i="1"/>
  <c r="BC387" i="1"/>
  <c r="BC388" i="1"/>
  <c r="BC389" i="1"/>
  <c r="BC390" i="1"/>
  <c r="BC391" i="1"/>
  <c r="BC392" i="1"/>
  <c r="BC393" i="1"/>
  <c r="BC394" i="1"/>
  <c r="BC395" i="1"/>
  <c r="BC396" i="1"/>
  <c r="BC397" i="1"/>
  <c r="BC398" i="1"/>
  <c r="BC399" i="1"/>
  <c r="BC400" i="1"/>
  <c r="BC401" i="1"/>
  <c r="BC402" i="1"/>
  <c r="S33" i="2" l="1"/>
  <c r="S32" i="2"/>
  <c r="S31" i="2"/>
  <c r="S30" i="2"/>
  <c r="S28" i="2"/>
  <c r="S26" i="2"/>
  <c r="S25" i="2"/>
  <c r="S24" i="2"/>
  <c r="S23" i="2"/>
  <c r="S22" i="2"/>
  <c r="R33" i="2"/>
  <c r="R32" i="2"/>
  <c r="R31" i="2"/>
  <c r="R30" i="2"/>
  <c r="R28" i="2"/>
  <c r="R26" i="2"/>
  <c r="R25" i="2"/>
  <c r="R24" i="2"/>
  <c r="R23" i="2"/>
  <c r="R20" i="2"/>
  <c r="S20" i="2" l="1"/>
  <c r="S29" i="2"/>
  <c r="S27" i="2"/>
  <c r="R29" i="2"/>
  <c r="R27" i="2"/>
  <c r="S21" i="2"/>
  <c r="R22" i="2"/>
  <c r="R21" i="2"/>
  <c r="AN48" i="1"/>
  <c r="M49" i="1" s="1"/>
  <c r="BC172" i="1"/>
  <c r="BC173" i="1"/>
  <c r="BC174" i="1"/>
  <c r="BC175" i="1"/>
  <c r="BC176" i="1"/>
  <c r="BC177" i="1"/>
  <c r="BC178" i="1"/>
  <c r="BC179" i="1"/>
  <c r="BC180" i="1"/>
  <c r="BC181" i="1"/>
  <c r="BC182" i="1"/>
  <c r="BC183" i="1"/>
  <c r="BC184" i="1"/>
  <c r="BC185" i="1"/>
  <c r="BC159" i="1"/>
  <c r="BC160" i="1"/>
  <c r="BC161" i="1"/>
  <c r="BC162" i="1"/>
  <c r="BC163" i="1"/>
  <c r="BC164" i="1"/>
  <c r="BC165" i="1"/>
  <c r="BC166" i="1"/>
  <c r="BC167" i="1"/>
  <c r="BC168" i="1"/>
  <c r="BC169" i="1"/>
  <c r="BC170" i="1"/>
  <c r="BC171" i="1"/>
  <c r="BC158" i="1"/>
  <c r="BC157" i="1"/>
  <c r="AR12" i="1" l="1"/>
  <c r="AQ12" i="1"/>
  <c r="W75" i="1" l="1"/>
  <c r="W74" i="1"/>
  <c r="Y28" i="1" l="1"/>
  <c r="Y27" i="1"/>
  <c r="BC247" i="1" l="1"/>
  <c r="BC246" i="1"/>
  <c r="BC245" i="1"/>
  <c r="BC244" i="1"/>
  <c r="BC243" i="1"/>
  <c r="BC242" i="1"/>
  <c r="BC241" i="1"/>
  <c r="BC240" i="1"/>
  <c r="BC239" i="1"/>
  <c r="BC238" i="1"/>
  <c r="BC237" i="1"/>
  <c r="BC236" i="1"/>
  <c r="BC235" i="1"/>
  <c r="BC234" i="1"/>
  <c r="BC233" i="1"/>
  <c r="BC232" i="1"/>
  <c r="BC231" i="1"/>
  <c r="BC230" i="1"/>
  <c r="BC229" i="1"/>
  <c r="BC228" i="1"/>
  <c r="BC227" i="1"/>
  <c r="BC226" i="1"/>
  <c r="BC225" i="1"/>
  <c r="BC224" i="1"/>
  <c r="BC223" i="1"/>
  <c r="BC222" i="1"/>
  <c r="BC221" i="1"/>
  <c r="BC220" i="1"/>
  <c r="BC219" i="1"/>
  <c r="BC218" i="1"/>
  <c r="BC217" i="1"/>
  <c r="BC216" i="1"/>
  <c r="BC215" i="1"/>
  <c r="BC214" i="1"/>
  <c r="BC213" i="1"/>
  <c r="BC212" i="1"/>
  <c r="BC211" i="1"/>
  <c r="BC210" i="1"/>
  <c r="BC209" i="1"/>
  <c r="BC208" i="1"/>
  <c r="BC207" i="1"/>
  <c r="BC206" i="1"/>
  <c r="BC205" i="1"/>
  <c r="BC204" i="1"/>
  <c r="BC203" i="1"/>
  <c r="BC202" i="1"/>
  <c r="BC201" i="1"/>
  <c r="BC200" i="1"/>
  <c r="BC199" i="1"/>
  <c r="BC198" i="1"/>
  <c r="BC197" i="1"/>
  <c r="BC196" i="1"/>
  <c r="BC195" i="1"/>
  <c r="BC194" i="1"/>
  <c r="BC193" i="1"/>
  <c r="BC192" i="1"/>
  <c r="BC191" i="1"/>
  <c r="BC190" i="1"/>
  <c r="BC189" i="1"/>
  <c r="BC188" i="1"/>
  <c r="BC187" i="1"/>
  <c r="BC186" i="1"/>
  <c r="BC156" i="1"/>
  <c r="BC155" i="1"/>
  <c r="BC154" i="1"/>
  <c r="BC153" i="1"/>
  <c r="BC152" i="1"/>
  <c r="BC151" i="1"/>
  <c r="BC150" i="1"/>
  <c r="BC149" i="1"/>
  <c r="BC148" i="1"/>
  <c r="BC147" i="1"/>
  <c r="BC146" i="1"/>
  <c r="BC145" i="1"/>
  <c r="BC144" i="1"/>
  <c r="BC143" i="1"/>
  <c r="BC142" i="1"/>
  <c r="K144" i="1"/>
  <c r="BC141" i="1"/>
  <c r="BC140" i="1"/>
  <c r="BC139" i="1"/>
  <c r="BC138" i="1"/>
  <c r="BC137" i="1"/>
  <c r="BC136" i="1"/>
  <c r="BC135" i="1"/>
  <c r="BC134" i="1"/>
  <c r="BC133" i="1"/>
  <c r="BC132" i="1"/>
  <c r="BC131" i="1"/>
  <c r="BC130" i="1"/>
  <c r="BC129" i="1"/>
  <c r="BC128" i="1"/>
  <c r="BC127" i="1"/>
  <c r="BC126" i="1"/>
  <c r="BC125" i="1"/>
  <c r="BC124" i="1"/>
  <c r="BC123" i="1"/>
  <c r="BC122" i="1"/>
  <c r="BC121" i="1"/>
  <c r="BC120" i="1"/>
  <c r="BC119" i="1"/>
  <c r="BC118" i="1"/>
  <c r="BC117" i="1"/>
  <c r="BC116" i="1"/>
  <c r="BC115" i="1"/>
  <c r="BC114" i="1"/>
  <c r="BC113" i="1"/>
  <c r="BC112" i="1"/>
  <c r="BC111" i="1"/>
  <c r="BC110" i="1"/>
  <c r="BC109" i="1"/>
  <c r="BC108" i="1"/>
  <c r="BC107" i="1"/>
  <c r="BC106" i="1"/>
  <c r="BC105" i="1"/>
  <c r="BC104" i="1"/>
  <c r="BC103" i="1"/>
  <c r="BC102" i="1"/>
  <c r="BC101" i="1"/>
  <c r="BC100" i="1"/>
  <c r="BC99" i="1"/>
  <c r="BC98" i="1"/>
  <c r="BC97" i="1"/>
  <c r="BC96" i="1"/>
  <c r="BC95" i="1"/>
  <c r="BC94" i="1"/>
  <c r="BC93" i="1"/>
  <c r="BC92" i="1"/>
  <c r="BC91" i="1"/>
  <c r="BC90" i="1"/>
  <c r="BC89" i="1"/>
  <c r="BC88" i="1"/>
  <c r="BC87" i="1"/>
  <c r="BC86" i="1"/>
  <c r="BC85" i="1"/>
  <c r="BC84" i="1"/>
  <c r="BC83" i="1"/>
  <c r="BC82" i="1"/>
  <c r="BC81" i="1"/>
  <c r="BC80" i="1"/>
  <c r="BC79" i="1"/>
  <c r="BC78" i="1"/>
  <c r="BC77" i="1"/>
  <c r="BC76" i="1"/>
  <c r="BC75" i="1"/>
  <c r="BC74" i="1"/>
  <c r="BC73" i="1"/>
  <c r="BC72" i="1"/>
  <c r="BC71" i="1"/>
  <c r="BC70" i="1"/>
  <c r="BC69" i="1"/>
  <c r="BC68" i="1"/>
  <c r="BC67" i="1"/>
  <c r="BC66" i="1"/>
  <c r="BC65" i="1"/>
  <c r="BC64" i="1"/>
  <c r="BC63" i="1"/>
  <c r="BC62" i="1"/>
  <c r="BC61" i="1"/>
  <c r="BC60" i="1"/>
  <c r="BC59" i="1"/>
  <c r="BC58" i="1"/>
  <c r="BC57" i="1"/>
  <c r="BC56" i="1"/>
  <c r="BC55" i="1"/>
  <c r="BC54" i="1"/>
  <c r="BC53" i="1"/>
  <c r="BC52" i="1"/>
  <c r="BC51" i="1"/>
  <c r="BC50" i="1"/>
  <c r="BC49" i="1"/>
  <c r="BC48" i="1"/>
  <c r="BC47" i="1"/>
  <c r="BC46" i="1"/>
  <c r="BC38" i="1"/>
  <c r="BC37" i="1"/>
  <c r="BC36" i="1"/>
  <c r="BC35" i="1"/>
  <c r="BC34" i="1"/>
  <c r="BC33" i="1"/>
  <c r="BC32" i="1"/>
  <c r="BC31" i="1"/>
  <c r="BC30" i="1"/>
  <c r="BC29" i="1"/>
  <c r="BC28" i="1"/>
  <c r="BC27" i="1"/>
  <c r="BC26" i="1"/>
  <c r="BC25" i="1"/>
  <c r="BC17" i="1"/>
  <c r="BC16" i="1"/>
  <c r="BC15" i="1"/>
  <c r="BC14" i="1"/>
  <c r="BC13" i="1"/>
  <c r="AR14" i="1"/>
  <c r="AQ14" i="1"/>
  <c r="BC11" i="1"/>
  <c r="BC10" i="1"/>
  <c r="BC9" i="1"/>
  <c r="BC8" i="1"/>
  <c r="BC7" i="1"/>
  <c r="BC6" i="1"/>
  <c r="BC5" i="1"/>
  <c r="BC4" i="1"/>
  <c r="BC3" i="1"/>
  <c r="P46" i="1" l="1"/>
  <c r="AN47" i="1" s="1"/>
  <c r="L18" i="1"/>
  <c r="T54" i="1"/>
  <c r="AF66" i="1"/>
  <c r="AF56" i="1"/>
  <c r="T59" i="1"/>
  <c r="AF65" i="1"/>
  <c r="T58" i="1"/>
  <c r="AF54" i="1"/>
  <c r="AF61" i="1"/>
  <c r="T56" i="1"/>
  <c r="T65" i="1"/>
  <c r="T64" i="1"/>
  <c r="AF64" i="1"/>
  <c r="AF59" i="1"/>
  <c r="AF58" i="1"/>
  <c r="T61" i="1"/>
  <c r="AF57" i="1"/>
  <c r="T60" i="1"/>
  <c r="AF55" i="1"/>
  <c r="T57" i="1"/>
  <c r="T66" i="1"/>
  <c r="AF60" i="1"/>
  <c r="T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9"/>
            <color indexed="81"/>
            <rFont val="Tahoma"/>
            <family val="2"/>
          </rPr>
          <t xml:space="preserve">OcEne art.15
</t>
        </r>
        <r>
          <rPr>
            <sz val="9"/>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G16" authorId="0" shapeId="0" xr:uid="{00000000-0006-0000-0100-000003000000}">
      <text>
        <r>
          <rPr>
            <b/>
            <i/>
            <sz val="9"/>
            <color indexed="81"/>
            <rFont val="Tahoma"/>
            <family val="2"/>
          </rPr>
          <t>Agrandissement:</t>
        </r>
        <r>
          <rPr>
            <sz val="9"/>
            <color indexed="81"/>
            <rFont val="Tahoma"/>
            <family val="2"/>
          </rPr>
          <t xml:space="preserve">
annexe ou surélévation (augmentation du volume du bâtiment) ainsi que transformation s'apparentant à une nouvelle construction (p.ex. murs intérieurs et dalles évacués).
</t>
        </r>
        <r>
          <rPr>
            <b/>
            <i/>
            <sz val="9"/>
            <color indexed="81"/>
            <rFont val="Tahoma"/>
            <family val="2"/>
          </rPr>
          <t>Transformation:</t>
        </r>
        <r>
          <rPr>
            <sz val="9"/>
            <color indexed="81"/>
            <rFont val="Tahoma"/>
            <family val="2"/>
          </rPr>
          <t xml:space="preserve">
un élément est touché par la transformation si l'on y entreprend des travaux plus importants qu'un simple rafraîchissement ou des réparations mineures.
</t>
        </r>
        <r>
          <rPr>
            <b/>
            <i/>
            <sz val="9"/>
            <color indexed="81"/>
            <rFont val="Tahoma"/>
            <family val="2"/>
          </rPr>
          <t>Changement d'affectation:</t>
        </r>
        <r>
          <rPr>
            <sz val="9"/>
            <color indexed="81"/>
            <rFont val="Tahoma"/>
            <family val="2"/>
          </rPr>
          <t xml:space="preserve">
le changement d'affectation entraîne une modification de la température ambiante durant la période de chauffage
</t>
        </r>
      </text>
    </comment>
    <comment ref="Y19" authorId="0" shapeId="0" xr:uid="{00000000-0006-0000-0100-000004000000}">
      <text>
        <r>
          <rPr>
            <sz val="9"/>
            <color indexed="81"/>
            <rFont val="Tahoma"/>
            <family val="2"/>
          </rPr>
          <t xml:space="preserve">Sont exemptés de l'exigence concernant la couverture des besoins de chaleur les agrandissements de bâtiments existants dont la surface de référence énergétique est inférieure à 50 m² ou qui représentent moins de 20 pour cent de la surface de référence énergétique du bâtiment existant sans pour autant dépasser 1'000 m².
</t>
        </r>
        <r>
          <rPr>
            <b/>
            <sz val="9"/>
            <color indexed="81"/>
            <rFont val="Tahoma"/>
            <family val="2"/>
          </rPr>
          <t>Toutefois, ces agrandissements sont soumis aux exigences de protection thermique contre le froid.</t>
        </r>
      </text>
    </comment>
    <comment ref="G25" authorId="0" shapeId="0" xr:uid="{00000000-0006-0000-0100-000005000000}">
      <text>
        <r>
          <rPr>
            <b/>
            <sz val="8"/>
            <color indexed="81"/>
            <rFont val="Tahoma"/>
            <family val="2"/>
          </rPr>
          <t xml:space="preserve">LcEne art.43
</t>
        </r>
        <r>
          <rPr>
            <sz val="8"/>
            <color indexed="81"/>
            <rFont val="Tahoma"/>
            <family val="2"/>
          </rPr>
          <t xml:space="preserve">Production propre d’électricité ou de chaleur des bâtiments existants
1 </t>
        </r>
        <r>
          <rPr>
            <b/>
            <sz val="8"/>
            <color indexed="81"/>
            <rFont val="Tahoma"/>
            <family val="2"/>
          </rPr>
          <t>En cas de dépose de la couverture de toiture, les bâtiments doivent être équipés pour produire une part de l’électricité ou de la chaleur qui y est consommée</t>
        </r>
        <r>
          <rPr>
            <sz val="8"/>
            <color indexed="81"/>
            <rFont val="Tahoma"/>
            <family val="2"/>
          </rPr>
          <t>. 
Sont exemptés:
a)  les bâtiments atteignant la classe C sur l'échelle de la performance énergétique globale du CECB après rénovation;
b)  les bâtiments qui bénéficient d'une rénovation énergétique des façades simultanément à la rénovation de la toiture;
c)  les bâtiments dont seule la couverture du pan de toiture orienté au nord est déposée;
d)  les bâtiments qui ne sont utilisés que pendant la saison estivale comme des bâtiments d'alpage.</t>
        </r>
      </text>
    </comment>
    <comment ref="L28" authorId="0" shapeId="0" xr:uid="{00000000-0006-0000-0100-000006000000}">
      <text>
        <r>
          <rPr>
            <b/>
            <sz val="8"/>
            <color indexed="81"/>
            <rFont val="Tahoma"/>
            <family val="2"/>
          </rPr>
          <t xml:space="preserve">OcEne art.51
</t>
        </r>
        <r>
          <rPr>
            <sz val="8"/>
            <color indexed="81"/>
            <rFont val="Tahoma"/>
            <family val="2"/>
          </rPr>
          <t>Dans un groupe de bâtiments raccordés à une centrale de chauffage, les appareils requis pour l’établissement du décompte individuel des frais de chauffage par bâtiment doivent être installés lorsque plus de 75 pour cent de l'enveloppe d’un ou de plusieurs bâtiments est rénovée.</t>
        </r>
      </text>
    </comment>
    <comment ref="O40" authorId="0" shapeId="0" xr:uid="{00000000-0006-0000-0100-000007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R44" authorId="0" shapeId="0" xr:uid="{00000000-0006-0000-0100-000008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K48" authorId="0" shapeId="0" xr:uid="{00000000-0006-0000-0100-000009000000}">
      <text>
        <r>
          <rPr>
            <b/>
            <sz val="9"/>
            <color indexed="81"/>
            <rFont val="Tahoma"/>
            <family val="2"/>
          </rPr>
          <t xml:space="preserve">Solutions standards pour les NOUVEAUX bâtiments
</t>
        </r>
        <r>
          <rPr>
            <sz val="9"/>
            <color indexed="81"/>
            <rFont val="Tahoma"/>
            <family val="2"/>
          </rPr>
          <t xml:space="preserve">
Solution standard 1A à 1D = OcEne art.57 al.2 let.a (1. à 4.)
Solution standard 2A à 2E = OcEne art.57 al.2 let.b (1. à 5.)
Solution standard 3A à 3C = OcEne art.57 al.3 let.a (1. à 3.)
Solution standard 4A à 4D = OcEne art.57 al.3 let.b (1. à 4.)</t>
        </r>
        <r>
          <rPr>
            <b/>
            <sz val="9"/>
            <color indexed="81"/>
            <rFont val="Tahoma"/>
            <family val="2"/>
          </rPr>
          <t xml:space="preserve">
Solutions standards REMPLACEMENT d'installation de production de chaleur
</t>
        </r>
        <r>
          <rPr>
            <sz val="9"/>
            <color indexed="81"/>
            <rFont val="Tahoma"/>
            <family val="2"/>
          </rPr>
          <t>Solution standard 1 = OcEne art.62 al.2 let.a)
Solution standard 2 = OcEne art.62 al.2 let.b)
Solution standard 3 = OcEne art.62 al.2 let.c)
Solution standard 4 = OcEne art.62 al.2 let.d)
Solution standard 5 = OcEne art.62 al.2 let.e)
Solution standard 6 = OcEne art.62 al.2 let.f)
Solution standard 7 = OcEne art.62 al.3 let.a)
Solution standard 8 = OcEne art.62 al.3 let.b)
Solution standard 9 = OcEne art.62 al.3 let.c)
Solution standard 10 = OcEne art.62 al.3 let.d)
Solution standard 11 = OcEne art.62 al.3 let.e)
Solution standard 12 = OcEne art.62 al.3 let.f)
Solution standard 13 = OcEne art.62 al.4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L12" authorId="0" shapeId="0" xr:uid="{00000000-0006-0000-0300-000002000000}">
      <text>
        <r>
          <rPr>
            <b/>
            <sz val="8"/>
            <color indexed="81"/>
            <rFont val="Tahoma"/>
            <family val="2"/>
          </rPr>
          <t xml:space="preserve">kEnV Art.15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G16" authorId="0" shapeId="0" xr:uid="{00000000-0006-0000-0300-000003000000}">
      <text>
        <r>
          <rPr>
            <b/>
            <i/>
            <sz val="9"/>
            <color indexed="81"/>
            <rFont val="Tahoma"/>
            <family val="2"/>
          </rPr>
          <t>Anbau:</t>
        </r>
        <r>
          <rPr>
            <sz val="9"/>
            <color indexed="81"/>
            <rFont val="Tahoma"/>
            <family val="2"/>
          </rPr>
          <t xml:space="preserve">
Anbauten und Aufstockungen (Vergrösserungen des Gebäudevolumens) sowie neubauartige Umbauten (z.B. Auskernungen).
</t>
        </r>
        <r>
          <rPr>
            <b/>
            <i/>
            <sz val="9"/>
            <color indexed="81"/>
            <rFont val="Tahoma"/>
            <family val="2"/>
          </rPr>
          <t>Umbau:</t>
        </r>
        <r>
          <rPr>
            <sz val="9"/>
            <color indexed="81"/>
            <rFont val="Tahoma"/>
            <family val="2"/>
          </rPr>
          <t xml:space="preserve">
Vom Umbau betroffen ist ein Bauteil, wenn daran im Zuge des Umbaus mehr als blosse Reparatur- und Unterhaltsarbeiten vorgenommen werden.
</t>
        </r>
        <r>
          <rPr>
            <b/>
            <i/>
            <sz val="9"/>
            <color indexed="81"/>
            <rFont val="Tahoma"/>
            <family val="2"/>
          </rPr>
          <t>Umnutzung:</t>
        </r>
        <r>
          <rPr>
            <sz val="9"/>
            <color indexed="81"/>
            <rFont val="Tahoma"/>
            <family val="2"/>
          </rPr>
          <t xml:space="preserve">
Bei Umnutzungen wird eine Änderung der Raumlufttemperatur in der Heizperiode vorgenommen.
</t>
        </r>
      </text>
    </comment>
    <comment ref="Y19" authorId="0" shapeId="0" xr:uid="{00000000-0006-0000-0300-000004000000}">
      <text>
        <r>
          <rPr>
            <sz val="9"/>
            <color indexed="81"/>
            <rFont val="Tahoma"/>
            <family val="2"/>
          </rPr>
          <t xml:space="preserve">Von der Anforderung an die Deckung des Wärmebedarfs sind ausgenommen,  Erweiterungen bestehender Gebäude, deren Energiebezugsfläche weniger als 50 m² beträgt oder die weniger als 20 Prozent der Energiebezugsfläche des bestehenden Gebäudes ausmachen, aber nicht mehr als 1'000 m² betragen
</t>
        </r>
        <r>
          <rPr>
            <b/>
            <sz val="9"/>
            <color indexed="81"/>
            <rFont val="Tahoma"/>
            <family val="2"/>
          </rPr>
          <t>Diese Erweiterungen unterliegen jedoch den Anforderungen an den winterlichen Wärmeschutz.</t>
        </r>
        <r>
          <rPr>
            <sz val="9"/>
            <color indexed="81"/>
            <rFont val="Tahoma"/>
            <family val="2"/>
          </rPr>
          <t xml:space="preserve">
</t>
        </r>
      </text>
    </comment>
    <comment ref="G25" authorId="0" shapeId="0" xr:uid="{00000000-0006-0000-0300-000005000000}">
      <text>
        <r>
          <rPr>
            <b/>
            <sz val="8"/>
            <color indexed="81"/>
            <rFont val="Tahoma"/>
            <family val="2"/>
          </rPr>
          <t xml:space="preserve">kEnG Art.43
</t>
        </r>
        <r>
          <rPr>
            <sz val="8"/>
            <color indexed="81"/>
            <rFont val="Tahoma"/>
            <family val="2"/>
          </rPr>
          <t xml:space="preserve">Eigenstrom- oder Wärmeerzeugung bei bestehenden Gebäuden
1 </t>
        </r>
        <r>
          <rPr>
            <b/>
            <sz val="8"/>
            <color indexed="81"/>
            <rFont val="Tahoma"/>
            <family val="2"/>
          </rPr>
          <t>Bei einer neuen Dacheindeckung müssen die Gebäude so ausgerüstet werden, dass sie einen Teil der von ihnen verbrauchten Elektrizität oder Wärme selbst erzeugen. Von dieser Pflicht befreit sind:</t>
        </r>
        <r>
          <rPr>
            <sz val="8"/>
            <color indexed="81"/>
            <rFont val="Tahoma"/>
            <family val="2"/>
          </rPr>
          <t>. 
a)  Gebäude, die nach der Renovation auf der Gesamtenergieeffizienz-Skala die mindestens GEAK Klasse C erreichen;
b)  Gebäude, bei denen gleichzeitig zur Dachrenovation eine energetische Fassadenrenovation vorgenommen wird;
c)  Gebäude, bei denen nur die nordseitige Dachfläche neu eingedeckt wird;
d)  Gebäude, die nur während der Sommersaison genutzt werden, wie Alpgebäude.</t>
        </r>
      </text>
    </comment>
    <comment ref="K28" authorId="0" shapeId="0" xr:uid="{00000000-0006-0000-0300-000006000000}">
      <text>
        <r>
          <rPr>
            <b/>
            <sz val="8"/>
            <color indexed="81"/>
            <rFont val="Tahoma"/>
            <family val="2"/>
          </rPr>
          <t xml:space="preserve">kEnV Art. 51
</t>
        </r>
        <r>
          <rPr>
            <sz val="8"/>
            <color indexed="81"/>
            <rFont val="Tahoma"/>
            <family val="2"/>
          </rPr>
          <t>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t>
        </r>
      </text>
    </comment>
    <comment ref="O40" authorId="0" shapeId="0" xr:uid="{00000000-0006-0000-0300-000007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R44" authorId="0" shapeId="0" xr:uid="{00000000-0006-0000-0300-000008000000}">
      <text>
        <r>
          <rPr>
            <b/>
            <sz val="8"/>
            <color indexed="81"/>
            <rFont val="Tahoma"/>
            <family val="2"/>
          </rPr>
          <t xml:space="preserve">Vollzugshilfe EN-102 Kap.8.1
</t>
        </r>
        <r>
          <rPr>
            <sz val="8"/>
            <color indexed="81"/>
            <rFont val="Tahoma"/>
            <family val="2"/>
          </rPr>
          <t>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N48" authorId="0" shapeId="0" xr:uid="{00000000-0006-0000-0300-000009000000}">
      <text>
        <r>
          <rPr>
            <b/>
            <sz val="9"/>
            <color indexed="81"/>
            <rFont val="Tahoma"/>
            <family val="2"/>
          </rPr>
          <t>Standardlösungen für NEUE Gebäude</t>
        </r>
        <r>
          <rPr>
            <sz val="9"/>
            <color indexed="81"/>
            <rFont val="Tahoma"/>
            <family val="2"/>
          </rPr>
          <t xml:space="preserve">
Standardlösung 1A bis 1D = kEnV Art. 57 Abs. 2 Buchsstabe a (1. bis 4.)
Standardlösung 2A bis 2E = kEnV Art. 57 Abs. 2 Buchstabe b (1. bis 5.)
Standardlösung 3A bis 3C = kEnV Art. 57 Abs. 3 Buchstabe a (1. bis 3.)
Standardlösung 4A bis 4D = kEnV Art. 57 Abs. 3 Buchstabe b (1. bis 4.)</t>
        </r>
        <r>
          <rPr>
            <b/>
            <sz val="9"/>
            <color indexed="81"/>
            <rFont val="Tahoma"/>
            <family val="2"/>
          </rPr>
          <t xml:space="preserve">
Standardlösungen für WÄRMEERZEUGERERSATZ 
</t>
        </r>
        <r>
          <rPr>
            <sz val="9"/>
            <color indexed="81"/>
            <rFont val="Tahoma"/>
            <family val="2"/>
          </rPr>
          <t>Standardlösung 1 = kEnV Art. 62 Abs. 2 Buchstabe a)
Standardlösung 2 = kEnV Art. 62 Abs. 2 Buchstabe b)
Standardlösung 3 = kEnV Art. 62 Abs. 2 Buchstabe c)
Standardlösung 4 = kEnV Art. 62 Abs. 2 Buchstabe d)
Standardlösung 5 = kEnV Art. 62 Abs. 2 Buchstabe e)
Standardlösung 6 = kEnV Art. 62 Abs. 2 Buchstabe f)
Standardlösung 7 = kEnV Art. 62 Abs. 3 Buchstabe a)
Standardlösung 8 = kEnV Art. 62 Abs. 3 Buchstabe b)
Standardlösung 9 = kEnV Art. 62 Abs. 3 Buchstabe c)
Standardlösung 10 = kEnV Art. 62 Abs. 3 Buchstabe d)
Standardlösung 11 = kEnV Art. 62 Abs. 3 Buchstabe e)
Standardlösung 12 = kEnV Art. 62 Abs. 3 Buchstabe f)
Standardlösung 13 = kEnV Art. 62 Abs. 4</t>
        </r>
      </text>
    </comment>
  </commentList>
</comments>
</file>

<file path=xl/sharedStrings.xml><?xml version="1.0" encoding="utf-8"?>
<sst xmlns="http://schemas.openxmlformats.org/spreadsheetml/2006/main" count="3176" uniqueCount="382">
  <si>
    <t>Service de l'énergie et des forces hydrauliques</t>
  </si>
  <si>
    <t>EN-VS-102a</t>
  </si>
  <si>
    <t>&lt;2m</t>
  </si>
  <si>
    <t>&gt;2m</t>
  </si>
  <si>
    <t>I = habitat collectif</t>
  </si>
  <si>
    <t>tp</t>
  </si>
  <si>
    <t>neuf</t>
  </si>
  <si>
    <t>ssa</t>
  </si>
  <si>
    <t>m</t>
  </si>
  <si>
    <t>b. à c.</t>
  </si>
  <si>
    <t>agr.</t>
  </si>
  <si>
    <t>s</t>
  </si>
  <si>
    <t>fen</t>
  </si>
  <si>
    <t>Commune :</t>
  </si>
  <si>
    <t xml:space="preserve">
autre:_______________________________</t>
  </si>
  <si>
    <t>portes</t>
  </si>
  <si>
    <t>p343</t>
  </si>
  <si>
    <t>Objet :</t>
  </si>
  <si>
    <t>EGID :</t>
  </si>
  <si>
    <t>stores</t>
  </si>
  <si>
    <t>transfo</t>
  </si>
  <si>
    <t>cgt. aff.</t>
  </si>
  <si>
    <t xml:space="preserve">Projet d'intérêt cantonal </t>
  </si>
  <si>
    <t>non</t>
  </si>
  <si>
    <t>réno</t>
  </si>
  <si>
    <t>ssg</t>
  </si>
  <si>
    <t>Caractéristiques de base</t>
  </si>
  <si>
    <t>Agrandissement</t>
  </si>
  <si>
    <t>Transformation</t>
  </si>
  <si>
    <t>Changement d'affectation</t>
  </si>
  <si>
    <t>oui ①</t>
  </si>
  <si>
    <t>II = habitat individuel</t>
  </si>
  <si>
    <t>Exigences particulières</t>
  </si>
  <si>
    <t>Rénovation de toiture</t>
  </si>
  <si>
    <t>Plus de 75% de l'enveloppe d'un ou de plusieurs bâtiments</t>
  </si>
  <si>
    <t>dans un groupe de bâtiment est rénovée</t>
  </si>
  <si>
    <t>Hygiène de l'air intérieur</t>
  </si>
  <si>
    <t xml:space="preserve">Concept de </t>
  </si>
  <si>
    <t>Protection thermique en été</t>
  </si>
  <si>
    <t>Valeur g</t>
  </si>
  <si>
    <t>motif:</t>
  </si>
  <si>
    <t>simulation dynamique</t>
  </si>
  <si>
    <t>Rafraîchissement</t>
  </si>
  <si>
    <t>III = administration</t>
  </si>
  <si>
    <t>freecooling</t>
  </si>
  <si>
    <t>Eléments d'enveloppe et exigences</t>
  </si>
  <si>
    <t>Elément contre</t>
  </si>
  <si>
    <t>l'extérieur ou enterré à moins de 2 m</t>
  </si>
  <si>
    <t>locaux non chauffés ou enterrés à plus de 2 m</t>
  </si>
  <si>
    <t>Elément</t>
  </si>
  <si>
    <t>Epaisseur de l'isolant en cm</t>
  </si>
  <si>
    <t>N° ②</t>
  </si>
  <si>
    <t>épaisseur</t>
  </si>
  <si>
    <t xml:space="preserve">Valeur U </t>
  </si>
  <si>
    <t>Valeur limite</t>
  </si>
  <si>
    <t>cm</t>
  </si>
  <si>
    <t>W/m²K</t>
  </si>
  <si>
    <t>Toit/plafond</t>
  </si>
  <si>
    <t>Mur</t>
  </si>
  <si>
    <t>IV = écoles</t>
  </si>
  <si>
    <t>Sol</t>
  </si>
  <si>
    <t>Portes (SIA 343)</t>
  </si>
  <si>
    <t>Caisson de store</t>
  </si>
  <si>
    <r>
      <t>U</t>
    </r>
    <r>
      <rPr>
        <sz val="8"/>
        <color rgb="FF000000"/>
        <rFont val="Arial"/>
        <family val="2"/>
      </rPr>
      <t>vitrage</t>
    </r>
  </si>
  <si>
    <r>
      <t>U</t>
    </r>
    <r>
      <rPr>
        <sz val="8"/>
        <color rgb="FF000000"/>
        <rFont val="Arial"/>
        <family val="2"/>
      </rPr>
      <t>fenêtre</t>
    </r>
  </si>
  <si>
    <t>Fenêtre, porte-fenêtre</t>
  </si>
  <si>
    <t>Porte</t>
  </si>
  <si>
    <t>Fenêtre avec corps de chauffe ③</t>
  </si>
  <si>
    <t>V = commerce</t>
  </si>
  <si>
    <t>Respect des exigences</t>
  </si>
  <si>
    <r>
      <t xml:space="preserve">Documentation </t>
    </r>
    <r>
      <rPr>
        <sz val="10"/>
        <color rgb="FF000000"/>
        <rFont val="Arial"/>
        <family val="2"/>
      </rPr>
      <t>(-&gt; joindre les plans)</t>
    </r>
  </si>
  <si>
    <r>
      <t xml:space="preserve">Justificatif des valeurs U </t>
    </r>
    <r>
      <rPr>
        <sz val="10"/>
        <color rgb="FF000000"/>
        <rFont val="Arial"/>
        <family val="2"/>
      </rPr>
      <t>(-&gt; joindre calculs et documentation)</t>
    </r>
  </si>
  <si>
    <t>VI = restauration</t>
  </si>
  <si>
    <t xml:space="preserve">Tous les calculs des valeurs U sont à annexer. A cet effet, les documents suivents peuvent être utilisés: </t>
  </si>
  <si>
    <t>2) Calcul de la valeur U de l'élément</t>
  </si>
  <si>
    <t>3) Fenêtre selon cahier technique</t>
  </si>
  <si>
    <t>①</t>
  </si>
  <si>
    <t>②</t>
  </si>
  <si>
    <t>Correspond aux numéros d'éléments d'enveloppe à mentionner sur les plans annexés.</t>
  </si>
  <si>
    <t>③</t>
  </si>
  <si>
    <t>Corps de chauffe en applique</t>
  </si>
  <si>
    <t>④</t>
  </si>
  <si>
    <t>Explications/motifs de non-conformité et demande de dérogation</t>
  </si>
  <si>
    <t>VII = lieux de rassemblement</t>
  </si>
  <si>
    <t>Plans (1:100) avec désignation des éléments, enveloppe thermique, SRE</t>
  </si>
  <si>
    <t>Liste des éléments, calculs des valeurs U</t>
  </si>
  <si>
    <t>VIII = hôpitaux</t>
  </si>
  <si>
    <t>Check-list des ponts thermiques</t>
  </si>
  <si>
    <t>Signatures</t>
  </si>
  <si>
    <t>Justificatif établi par :</t>
  </si>
  <si>
    <t>Nom et adresse
de l'entreprise :</t>
  </si>
  <si>
    <t>Responsable :</t>
  </si>
  <si>
    <t>tél / mail :</t>
  </si>
  <si>
    <t>Lieu, date et signature :</t>
  </si>
  <si>
    <t>IX = industrie</t>
  </si>
  <si>
    <t>ssb</t>
  </si>
  <si>
    <t>ssc</t>
  </si>
  <si>
    <t>ssd</t>
  </si>
  <si>
    <t>sse</t>
  </si>
  <si>
    <t>ssf</t>
  </si>
  <si>
    <t>X = dépôt</t>
  </si>
  <si>
    <t>autorisation de construire limitée à 3 ans max.</t>
  </si>
  <si>
    <t>changement d’affectation sans changement des besoins de chaleur</t>
  </si>
  <si>
    <t>catégorie SIA XII (piscines couvertes)</t>
  </si>
  <si>
    <t>pas de séjour prolongé de personnes (&lt; 1 h/jour)</t>
  </si>
  <si>
    <t>N° parcelle :</t>
  </si>
  <si>
    <t>Les plans et coupes à échelle réduite (A4 ou A3) doivent montrer les étages chauffés et les éléments d'enveloppe y relatifs. En cas de transformation ou de changements d'affection, ces renseignements ne sont à fournir que pour les zones concernées, mais la documentation remise doit permettre de déterminer ce qui est concerné et ce qui ne l'est pas.</t>
  </si>
  <si>
    <t>OcEne allègements selon art.28 (base ENDK voir aide appli EN-102a)</t>
  </si>
  <si>
    <t>autre (justifier en annexe)</t>
  </si>
  <si>
    <t xml:space="preserve">   Protection solaire extérieure</t>
  </si>
  <si>
    <t xml:space="preserve">   Justificatif de la valeur g du vitrage et de la protection solaire</t>
  </si>
  <si>
    <t xml:space="preserve">   Non, ni "nécessaire" ni "souhaitable"</t>
  </si>
  <si>
    <t xml:space="preserve">   Oui</t>
  </si>
  <si>
    <t xml:space="preserve"> Commande automatique des protections solaires</t>
  </si>
  <si>
    <t>En cas de transformation, l'enveloppe thermique peut être composée d'éléments existants qui ne respectent pas les performances ponctuelles requises. Cette question est à traiter lors de transformation, de changement d'affectation, de construction annexée ou de surélévation en fonction des éléments ou locaux concernés.</t>
  </si>
  <si>
    <t>Nouveau bâtiment</t>
  </si>
  <si>
    <t>Neuf - Combinaison de solutions standards 3</t>
  </si>
  <si>
    <t>Neuf - Combinaison de solutions standards 4</t>
  </si>
  <si>
    <t>Réno - Combinaison de solutions standards 7 + 8</t>
  </si>
  <si>
    <t>Réno - Combinaison de solutions standards 7 + 9</t>
  </si>
  <si>
    <t>Réno - Combinaison de solutions standards 8 + 9</t>
  </si>
  <si>
    <t>Mention si le choix n'est pas "possible"</t>
  </si>
  <si>
    <r>
      <t xml:space="preserve">À REMPLIR PAR L'AUTORITE COMPETENTE
(ou son délégué)
</t>
    </r>
    <r>
      <rPr>
        <b/>
        <i/>
        <sz val="9"/>
        <color rgb="FF000000"/>
        <rFont val="Arial"/>
        <family val="2"/>
      </rPr>
      <t>Le justificatif est certifié complet et correct</t>
    </r>
  </si>
  <si>
    <t>XI = installation sportive</t>
  </si>
  <si>
    <t>XII = piscine couverte</t>
  </si>
  <si>
    <t>correction de 5% par K</t>
  </si>
  <si>
    <t>°C</t>
  </si>
  <si>
    <t>lim neuf</t>
  </si>
  <si>
    <t>lim réno</t>
  </si>
  <si>
    <t>base 20°C</t>
  </si>
  <si>
    <t>corr</t>
  </si>
  <si>
    <t>max</t>
  </si>
  <si>
    <t>selon choix</t>
  </si>
  <si>
    <t>ventilation:</t>
  </si>
  <si>
    <t>Réno - Combinaison de solutions standards 7 + 10/11/12</t>
  </si>
  <si>
    <t>Réno - Combinaison de solutions standards 8 + 10/11/12</t>
  </si>
  <si>
    <t>Réno - Combinaison de solutions standards 9 + 10/11/12</t>
  </si>
  <si>
    <t>Réno - Combinaison de solutions standards 10/11/12</t>
  </si>
  <si>
    <t>ssh</t>
  </si>
  <si>
    <t>ssi</t>
  </si>
  <si>
    <t>ssj</t>
  </si>
  <si>
    <t>ssk</t>
  </si>
  <si>
    <t>Toujours admises, sauf en présence de façades rideaux ou en cas d'utilisation de vitrages avec film de protection solaire dont le taux de transmission globale est inférieur à 0,3.</t>
  </si>
  <si>
    <t>1) Eléments d'un catalogue de constr. ou d'un fournisseur, avec mention du coef. de conductivité thermique de l'isolant et de son épaisseur</t>
  </si>
  <si>
    <t xml:space="preserve">Surface de toiture : </t>
  </si>
  <si>
    <t>Uw max. 1.00</t>
  </si>
  <si>
    <t>Uw max. 1.30</t>
  </si>
  <si>
    <t>Uw max. 0.80</t>
  </si>
  <si>
    <t>Catégorie d'ouvrage :</t>
  </si>
  <si>
    <t>Valeurs limites des valeurs U selon :</t>
  </si>
  <si>
    <t>Valeurs U respectées par tous les éléments concernés :</t>
  </si>
  <si>
    <t>Justificatif des ponts thermiques respecté :</t>
  </si>
  <si>
    <t>Enveloppe thermique complètement fermée ④ :</t>
  </si>
  <si>
    <t>Tous les locaux chauffés sont à l'intérieur de l'enveloppe thermique ④ :</t>
  </si>
  <si>
    <t>Autre :</t>
  </si>
  <si>
    <t>Choisir s.v.p. :</t>
  </si>
  <si>
    <t>Nature des travaux :</t>
  </si>
  <si>
    <t>Performances ponctuelles admises :</t>
  </si>
  <si>
    <t>Réno - Solutions standards 1 à 6 et 13 (une solution standard)</t>
  </si>
  <si>
    <t>tpms</t>
  </si>
  <si>
    <t>portes grdes</t>
  </si>
  <si>
    <t>Uw max. 1.17</t>
  </si>
  <si>
    <t>Uw max. 1.10</t>
  </si>
  <si>
    <t>Uw max. 1.43</t>
  </si>
  <si>
    <t>Ug max. 0.70</t>
  </si>
  <si>
    <t>Uw max. 0.90</t>
  </si>
  <si>
    <t>Neuf - Norme SIA 380/1:2016, solutions standards 1 ou 2</t>
  </si>
  <si>
    <t>SRE neuf :</t>
  </si>
  <si>
    <r>
      <t>m</t>
    </r>
    <r>
      <rPr>
        <i/>
        <vertAlign val="superscript"/>
        <sz val="10"/>
        <color rgb="FF000000"/>
        <rFont val="Arial"/>
        <family val="2"/>
      </rPr>
      <t>2</t>
    </r>
  </si>
  <si>
    <t>SRE existant :</t>
  </si>
  <si>
    <t>Part :</t>
  </si>
  <si>
    <t>%</t>
  </si>
  <si>
    <t>vrai= cat I ou II</t>
  </si>
  <si>
    <t>SIA 380/1:2016 (pas de solution standard applicable)</t>
  </si>
  <si>
    <r>
      <rPr>
        <sz val="11"/>
        <rFont val="Arial"/>
        <family val="2"/>
      </rPr>
      <t xml:space="preserve">Justificatif énergétique
</t>
    </r>
    <r>
      <rPr>
        <b/>
        <sz val="12"/>
        <rFont val="Arial"/>
        <family val="2"/>
      </rPr>
      <t>Protection thermique
Performances ponctuelles</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</si>
  <si>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</si>
  <si>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</si>
  <si>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</si>
  <si>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</si>
  <si>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</si>
  <si>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</si>
  <si>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</si>
  <si>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</si>
  <si>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</si>
  <si>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</si>
  <si>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</si>
  <si>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</si>
  <si>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</si>
  <si>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</si>
  <si>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</si>
  <si>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</si>
  <si>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</si>
  <si>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</si>
  <si>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</si>
  <si>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</si>
  <si>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</si>
  <si>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</si>
  <si>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</si>
  <si>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</si>
  <si>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</si>
  <si>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</si>
  <si>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</si>
  <si>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</si>
  <si>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</si>
  <si>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</si>
  <si>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</si>
  <si>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</si>
  <si>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</si>
  <si>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</si>
  <si>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</si>
  <si>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</si>
  <si>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</si>
  <si>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</si>
  <si>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</si>
  <si>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</si>
  <si>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</si>
  <si>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</si>
  <si>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</si>
  <si>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</si>
  <si>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</si>
  <si>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</si>
  <si>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</si>
  <si>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</si>
  <si>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</si>
  <si>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rPr>
        <sz val="11"/>
        <rFont val="Arial"/>
        <family val="2"/>
      </rPr>
      <t xml:space="preserve">Energienachweis
</t>
    </r>
    <r>
      <rPr>
        <b/>
        <sz val="12"/>
        <rFont val="Arial"/>
        <family val="2"/>
      </rPr>
      <t>Wärmedämmung
Einzelbauteilnachweis</t>
    </r>
  </si>
  <si>
    <t>Gemeinde :</t>
  </si>
  <si>
    <t>Bauvorhaben :</t>
  </si>
  <si>
    <t>Parz.-Nr :</t>
  </si>
  <si>
    <t xml:space="preserve">Projekt von kantonalem Interesse </t>
  </si>
  <si>
    <t>Grundlagen</t>
  </si>
  <si>
    <t>Art des Vorhabens :</t>
  </si>
  <si>
    <t>Neubau</t>
  </si>
  <si>
    <t>Umbau</t>
  </si>
  <si>
    <t>Umnutzung</t>
  </si>
  <si>
    <t>EBF neu :</t>
  </si>
  <si>
    <t>EBF bestehend :</t>
  </si>
  <si>
    <t>Anteil :</t>
  </si>
  <si>
    <t>Einzelbauteilnachweiss zulässig :</t>
  </si>
  <si>
    <t>JA ①</t>
  </si>
  <si>
    <t>NEIN</t>
  </si>
  <si>
    <t>Dachfläche :</t>
  </si>
  <si>
    <t xml:space="preserve">Mehr als 75 Prozent der Gebäudehülle eines </t>
  </si>
  <si>
    <t>oder mehrerer Gebäude renoviert wird :</t>
  </si>
  <si>
    <t>Raumlufthygien</t>
  </si>
  <si>
    <t>Lüftungs-</t>
  </si>
  <si>
    <t>konzept</t>
  </si>
  <si>
    <t>Sommerlicher Wärmeschutz</t>
  </si>
  <si>
    <t>g-Wert</t>
  </si>
  <si>
    <t xml:space="preserve">   Nachweis g-Wert Verglasung und Sonnenschutz beilegen</t>
  </si>
  <si>
    <t>Begründung :</t>
  </si>
  <si>
    <t>Kühlung</t>
  </si>
  <si>
    <t xml:space="preserve">   Nein, weder vorgesehen, "notwendig" oder "erwünscht" gemäss 382/1</t>
  </si>
  <si>
    <t xml:space="preserve">   Ja</t>
  </si>
  <si>
    <t xml:space="preserve"> Automatische Steueurung des Sonnenschutzes</t>
  </si>
  <si>
    <t xml:space="preserve"> Nicht automatisch ; </t>
  </si>
  <si>
    <t xml:space="preserve">   Valeur g non respectée ;</t>
  </si>
  <si>
    <t xml:space="preserve"> Pas automatique ; </t>
  </si>
  <si>
    <t>Bitte wählen :</t>
  </si>
  <si>
    <t>Neu - SIA 380/1:2016 Norm, Standardlösungen 1 oder 2</t>
  </si>
  <si>
    <t>Neu - Standardlösungskombination 3</t>
  </si>
  <si>
    <t>Neu - Standardlösungskombination 4</t>
  </si>
  <si>
    <t>Reno - Standardlösungskombinationen 7 + 8</t>
  </si>
  <si>
    <t>Reno - Standardlösungskombinationen 7 + 9</t>
  </si>
  <si>
    <t>Reno - Standardlösungskombinationen 8 + 9</t>
  </si>
  <si>
    <t>Reno - Standardlösungs 1 bis 6 und 13 (einen Standardlösung)</t>
  </si>
  <si>
    <t>Reno - Standardlösungskombinationen 7 + 10/11/12</t>
  </si>
  <si>
    <t>Reno - Standardlösungskombinationen 8 + 10/11/12</t>
  </si>
  <si>
    <t>Reno - Standardlösungskombinationen 9 + 10/11/12</t>
  </si>
  <si>
    <t>Reno - Standardlösungskombinationen 10/11/12</t>
  </si>
  <si>
    <t>SIA 380/1:2016 (keine anwendbare Standardlösung)</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</si>
  <si>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</si>
  <si>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</si>
  <si>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</si>
  <si>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</si>
  <si>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</si>
  <si>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</si>
  <si>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</si>
  <si>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</si>
  <si>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</si>
  <si>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</si>
  <si>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</si>
  <si>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</si>
  <si>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</si>
  <si>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</si>
  <si>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</si>
  <si>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</si>
  <si>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</si>
  <si>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andere (im Anhang zu begründen)</t>
  </si>
  <si>
    <t>Freecooling</t>
  </si>
  <si>
    <t>Bauteile und Anforderungen</t>
  </si>
  <si>
    <t>Nutzung :</t>
  </si>
  <si>
    <t>Grenzwerte für flächenbezogene U-Werte gemäss :</t>
  </si>
  <si>
    <t>Anbau, Erweiterung</t>
  </si>
  <si>
    <t>Bauteil gegen</t>
  </si>
  <si>
    <t>Bauteil</t>
  </si>
  <si>
    <t>Stärke des Dämm-
materials in cm</t>
  </si>
  <si>
    <t>Dach/Decke</t>
  </si>
  <si>
    <t>Wand</t>
  </si>
  <si>
    <t>Boden</t>
  </si>
  <si>
    <t>Tore (SIA 343)</t>
  </si>
  <si>
    <t>Storencasten</t>
  </si>
  <si>
    <t>Fenster, Fenstertüren</t>
  </si>
  <si>
    <t>Türen</t>
  </si>
  <si>
    <t>Fenster mit Heizkörper ③</t>
  </si>
  <si>
    <t>Nr ②</t>
  </si>
  <si>
    <t>Nr° ②</t>
  </si>
  <si>
    <t>Ausserklima oder 
weniger als 2 m im Erdreich</t>
  </si>
  <si>
    <t>Stärke</t>
  </si>
  <si>
    <t>U-Wert</t>
  </si>
  <si>
    <t>Grenzwert</t>
  </si>
  <si>
    <r>
      <t>U</t>
    </r>
    <r>
      <rPr>
        <sz val="8"/>
        <color rgb="FF000000"/>
        <rFont val="Arial"/>
        <family val="2"/>
      </rPr>
      <t>Glas</t>
    </r>
  </si>
  <si>
    <r>
      <t>U</t>
    </r>
    <r>
      <rPr>
        <sz val="8"/>
        <color rgb="FF000000"/>
        <rFont val="Arial"/>
        <family val="2"/>
      </rPr>
      <t>Fenster</t>
    </r>
  </si>
  <si>
    <t>neu</t>
  </si>
  <si>
    <t>reno</t>
  </si>
  <si>
    <t>XI = Hallenbäder</t>
  </si>
  <si>
    <t>gemäss Wahl</t>
  </si>
  <si>
    <t>Einhaltung der Anforungen</t>
  </si>
  <si>
    <t>Alle betrofene, flächigenBauteile erfüllen :</t>
  </si>
  <si>
    <t>Wärmebrückennachweiss erfüllt :</t>
  </si>
  <si>
    <t>Thermische Hülle lückenlos ④ :</t>
  </si>
  <si>
    <t>Alle beheitzen Räume inerhalb thermische Hülle ④ :</t>
  </si>
  <si>
    <r>
      <t xml:space="preserve">Projektdokumentation </t>
    </r>
    <r>
      <rPr>
        <sz val="10"/>
        <color rgb="FF000000"/>
        <rFont val="Arial"/>
        <family val="2"/>
      </rPr>
      <t>(-&gt; Pläne beilegen)</t>
    </r>
  </si>
  <si>
    <r>
      <t xml:space="preserve">Nachweis der U-Werte </t>
    </r>
    <r>
      <rPr>
        <sz val="10"/>
        <color rgb="FF000000"/>
        <rFont val="Arial"/>
        <family val="2"/>
      </rPr>
      <t>(-&gt; Berechnungen, Dokumentationen beilegen)</t>
    </r>
  </si>
  <si>
    <t>Alle Berechnungen der U-Werte sind beizulegen. Dazun sind folgende Unterlagen geeignet :</t>
  </si>
  <si>
    <t>2) Berechnung des U-Werts des Bauteils</t>
  </si>
  <si>
    <t>3) Fenster gemäss Merkblatt</t>
  </si>
  <si>
    <t>Immer zulässig, ausser bei Vorhangfassaden und bei Verwendung von Gläsern mit einem Gesamtenergiedurchlassgrad kleiner 0.3 (Sonnenschutz).</t>
  </si>
  <si>
    <t>Nummerierung der Bauteile in den Beilagen.</t>
  </si>
  <si>
    <t>Heizkörper vor der Glasfläche.</t>
  </si>
  <si>
    <t>Die thermische Hülle bien Umbauten kann bestehende Bauteile enthalten, welche die Einzelanforderungen nicht erfüllen. Diese Fragen sind bei Umbauten, Umnutzungen, Anbauten, Aufstockungen in Bezug auf die betroffene Bauteile oder Räume zu beantworten.</t>
  </si>
  <si>
    <t>Erläuterungen/Begründungen zu Abweichungen und Ausnahmegesuchen</t>
  </si>
  <si>
    <t>Nachweis erarbeitet durch :</t>
  </si>
  <si>
    <t>Unterschriften</t>
  </si>
  <si>
    <t>Name und Adresse
bzw. Firmenstempel :</t>
  </si>
  <si>
    <t>Sachbearbeiter/-in :</t>
  </si>
  <si>
    <t>Tel / Mail :</t>
  </si>
  <si>
    <t>Ort, Datum, Unterschrift :</t>
  </si>
  <si>
    <t>Justification de l'intérêt cantonal selon OcEne art.15</t>
  </si>
  <si>
    <t>Justificatif EN-VS-104</t>
  </si>
  <si>
    <t>Justificatif EN-VS-105</t>
  </si>
  <si>
    <t>Justificatif pour la solution de respect des protections solaires</t>
  </si>
  <si>
    <t>Performance globale à fournir, justificatif EN-VS-102b</t>
  </si>
  <si>
    <t xml:space="preserve">  Lüftungsanlage mit Abluft und Zuluft</t>
  </si>
  <si>
    <t xml:space="preserve">  Abluftanlage mit definierten Aussenluftdurchlässen (ALD)</t>
  </si>
  <si>
    <t xml:space="preserve">  Fensterlüftung mit automatischer Steuerung</t>
  </si>
  <si>
    <t xml:space="preserve">  Fensterlüftung mit manueller Bedienung</t>
  </si>
  <si>
    <t xml:space="preserve">  Andere: </t>
  </si>
  <si>
    <t>EN-VS-104</t>
  </si>
  <si>
    <t>EN-VS-105</t>
  </si>
  <si>
    <t>Begründung für die Lösung zur Einhaltung des Sonnenschutzes</t>
  </si>
  <si>
    <t>Systemnachweis, Formular EN-VS-102b</t>
  </si>
  <si>
    <t>Begründung des kantonalen Interesses gemäss kEnV Art.15</t>
  </si>
  <si>
    <t>Checkliste Wärmebrücken</t>
  </si>
  <si>
    <t>Bauteilliste, U-Wert-Berechnungen</t>
  </si>
  <si>
    <t>Andere :</t>
  </si>
  <si>
    <t>Besondere Anforderungen</t>
  </si>
  <si>
    <r>
      <t xml:space="preserve">VON DER ZUSTÄNDIGEN BEHÖRDE AUSZUFÜLLEN
</t>
    </r>
    <r>
      <rPr>
        <b/>
        <i/>
        <sz val="9"/>
        <color rgb="FF000000"/>
        <rFont val="Arial"/>
        <family val="2"/>
      </rPr>
      <t>(oder sein Beauftragter)
Der Nachweis ist vollständig und korrekt belegt</t>
    </r>
  </si>
  <si>
    <t xml:space="preserve">   g-Wert nicht eingehalten;</t>
  </si>
  <si>
    <t>Unbeheizte Räume oder 
mehr als 2 m im Erdreich</t>
  </si>
  <si>
    <t xml:space="preserve">   Aussenliegender Sonnenschutz</t>
  </si>
  <si>
    <t>1) Bauteil aus einem Bauteilkatalog oder aus einem Herstellerkatalog mit Angabe vom Wärmeleitfähigkeit des Dämmmaterials und der Dämmstärke</t>
  </si>
  <si>
    <t>Auf verkleinerten Grundrissplänen und Schnitten (A4 oder A3) sind die beheizten Geschossflächen und deren umschliessende Bauteile zu bezeichnen. Bei Umbauten oder Umnutzungen sind nur die betroffene Bereiche zu dokumentieren, aufgrund der Unterlagen muss aber ersichtlich sein, was betroffen ist und was nicht.</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</si>
  <si>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</si>
  <si>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</si>
  <si>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</si>
  <si>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</si>
  <si>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</si>
  <si>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</si>
  <si>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</si>
  <si>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</si>
  <si>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 xml:space="preserve">   Système de ventilation avec air fourni et air repris</t>
  </si>
  <si>
    <t xml:space="preserve">   Installation simple d'air repris avec entrées d'air neuf définies</t>
  </si>
  <si>
    <t xml:space="preserve">   Aération par fenêtres avec commande automatique</t>
  </si>
  <si>
    <t xml:space="preserve">   Aération par ouverture manuelle des fenêtres</t>
  </si>
  <si>
    <t xml:space="preserve">   Autre: </t>
  </si>
  <si>
    <r>
      <t xml:space="preserve">Annexes à fournir </t>
    </r>
    <r>
      <rPr>
        <b/>
        <sz val="12"/>
        <color theme="5"/>
        <rFont val="Arial"/>
        <family val="2"/>
      </rPr>
      <t xml:space="preserve">dans le cadre de ce formulaire </t>
    </r>
    <r>
      <rPr>
        <b/>
        <sz val="12"/>
        <color rgb="FF000000"/>
        <rFont val="Arial"/>
        <family val="2"/>
      </rPr>
      <t>selon les informations saisies</t>
    </r>
  </si>
  <si>
    <r>
      <t xml:space="preserve">Anhänge, </t>
    </r>
    <r>
      <rPr>
        <b/>
        <sz val="12"/>
        <color theme="5"/>
        <rFont val="Arial"/>
        <family val="2"/>
      </rPr>
      <t>die im Rahmen dieses Formular erforderlich sind</t>
    </r>
    <r>
      <rPr>
        <b/>
        <sz val="12"/>
        <color rgb="FF000000"/>
        <rFont val="Arial"/>
        <family val="2"/>
      </rPr>
      <t>, entsprechend den eingegebenen Informationen</t>
    </r>
  </si>
  <si>
    <t>Pläne (1:100) mit Bauteilbezeichnungen, thermische Gebäudehülle, EBF</t>
  </si>
  <si>
    <t>Version décembre 2024 (valable  jusqu'au 31.04.2025)</t>
  </si>
  <si>
    <t>Version Dezember 2024 (gültig bis 31.04.2025)</t>
  </si>
  <si>
    <r>
      <t>m</t>
    </r>
    <r>
      <rPr>
        <vertAlign val="superscript"/>
        <sz val="10"/>
        <color theme="0" tint="-0.34998626667073579"/>
        <rFont val="Arial"/>
        <family val="2"/>
      </rPr>
      <t>2</t>
    </r>
  </si>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</sst>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_ ;\-#,##0.00\ "/>
    <numFmt numFmtId="165" formatCode="_-* #,##0.00\ _C_H_F_-;\-* #,##0.00\ _C_H_F_-;_-* &quot;-&quot;??\ _C_H_F_-;_-@_-"/>
    <numFmt numFmtId="166" formatCode="_-* #,##0.000\ _C_H_F_-;\-* #,##0.000\ _C_H_F_-;_-* &quot;-&quot;??\ _C_H_F_-;_-@_-"/>
  </numFmts>
  <fonts count="51"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rgb="FF00B0F0"/>
      <name val="Arial"/>
      <family val="2"/>
    </font>
    <font>
      <b/>
      <sz val="12"/>
      <color rgb="FF000000"/>
      <name val="Arial"/>
      <family val="2"/>
    </font>
    <font>
      <sz val="8"/>
      <color rgb="FF000000"/>
      <name val="Arial"/>
      <family val="2"/>
    </font>
    <font>
      <sz val="10"/>
      <color rgb="FF00B050"/>
      <name val="Arial"/>
      <family val="2"/>
    </font>
    <font>
      <sz val="10"/>
      <color theme="0"/>
      <name val="Arial"/>
      <family val="2"/>
    </font>
    <font>
      <b/>
      <sz val="9"/>
      <color rgb="FF000000"/>
      <name val="Arial"/>
      <family val="2"/>
    </font>
    <font>
      <b/>
      <sz val="9"/>
      <color indexed="81"/>
      <name val="Tahoma"/>
      <family val="2"/>
    </font>
    <font>
      <sz val="9"/>
      <color indexed="81"/>
      <name val="Tahoma"/>
      <family val="2"/>
    </font>
    <font>
      <sz val="8"/>
      <color rgb="FF000000"/>
      <name val="Segoe UI"/>
      <family val="2"/>
    </font>
    <font>
      <b/>
      <sz val="11"/>
      <name val="Arial"/>
      <family val="2"/>
    </font>
    <font>
      <i/>
      <sz val="12"/>
      <color theme="0" tint="-0.499984740745262"/>
      <name val="Arial"/>
      <family val="2"/>
    </font>
    <font>
      <sz val="10"/>
      <color theme="0" tint="-0.34998626667073579"/>
      <name val="Arial"/>
      <family val="2"/>
    </font>
    <font>
      <i/>
      <sz val="10"/>
      <color theme="5"/>
      <name val="Arial"/>
      <family val="2"/>
    </font>
    <font>
      <i/>
      <sz val="10"/>
      <color rgb="FFFF0000"/>
      <name val="Arial"/>
      <family val="2"/>
    </font>
    <font>
      <i/>
      <sz val="9"/>
      <color theme="5"/>
      <name val="Arial"/>
      <family val="2"/>
    </font>
    <font>
      <b/>
      <sz val="8"/>
      <color indexed="81"/>
      <name val="Tahoma"/>
      <family val="2"/>
    </font>
    <font>
      <sz val="8"/>
      <color indexed="81"/>
      <name val="Tahoma"/>
      <family val="2"/>
    </font>
    <font>
      <b/>
      <i/>
      <sz val="9"/>
      <color indexed="81"/>
      <name val="Tahoma"/>
      <family val="2"/>
    </font>
    <font>
      <b/>
      <i/>
      <sz val="9"/>
      <color rgb="FF000000"/>
      <name val="Arial"/>
      <family val="2"/>
    </font>
    <font>
      <i/>
      <sz val="10"/>
      <color rgb="FF000000"/>
      <name val="Arial"/>
      <family val="2"/>
    </font>
    <font>
      <b/>
      <sz val="10"/>
      <color theme="0" tint="-0.34998626667073579"/>
      <name val="Arial"/>
      <family val="2"/>
    </font>
    <font>
      <i/>
      <sz val="11"/>
      <color theme="5"/>
      <name val="Arial"/>
      <family val="2"/>
    </font>
    <font>
      <sz val="11"/>
      <color theme="0" tint="-0.499984740745262"/>
      <name val="Calibri"/>
      <family val="2"/>
      <scheme val="minor"/>
    </font>
    <font>
      <i/>
      <sz val="8.5"/>
      <color rgb="FF000000"/>
      <name val="Arial"/>
      <family val="2"/>
    </font>
    <font>
      <i/>
      <vertAlign val="superscript"/>
      <sz val="10"/>
      <color rgb="FF00000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i/>
      <sz val="12"/>
      <color theme="1"/>
      <name val="Calibri"/>
      <family val="2"/>
      <scheme val="minor"/>
    </font>
    <font>
      <sz val="9"/>
      <color rgb="FF000000"/>
      <name val="Arial"/>
      <family val="2"/>
    </font>
    <font>
      <b/>
      <sz val="12"/>
      <color theme="5"/>
      <name val="Arial"/>
      <family val="2"/>
    </font>
    <font>
      <i/>
      <sz val="12"/>
      <color theme="0" tint="-0.34998626667073579"/>
      <name val="Arial"/>
      <family val="2"/>
    </font>
    <font>
      <b/>
      <sz val="12"/>
      <color theme="0" tint="-0.34998626667073579"/>
      <name val="Arial"/>
      <family val="2"/>
    </font>
    <font>
      <i/>
      <sz val="9"/>
      <color theme="0" tint="-0.34998626667073579"/>
      <name val="Arial"/>
      <family val="2"/>
    </font>
    <font>
      <sz val="9"/>
      <color theme="0" tint="-0.34998626667073579"/>
      <name val="Arial"/>
      <family val="2"/>
    </font>
    <font>
      <vertAlign val="superscript"/>
      <sz val="10"/>
      <color theme="0" tint="-0.34998626667073579"/>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cellStyleXfs>
  <cellXfs count="342">
    <xf numFmtId="0" fontId="0" fillId="0" borderId="0" xfId="0"/>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14" xfId="0" applyFont="1" applyFill="1" applyBorder="1" applyAlignment="1">
      <alignment horizontal="left" vertical="center"/>
    </xf>
    <xf numFmtId="0" fontId="2" fillId="2" borderId="14" xfId="0" applyFont="1" applyFill="1" applyBorder="1" applyAlignment="1">
      <alignment horizontal="right" vertical="center"/>
    </xf>
    <xf numFmtId="0" fontId="7" fillId="2" borderId="0" xfId="0" applyFont="1" applyFill="1" applyAlignment="1">
      <alignment horizontal="left" vertical="center"/>
    </xf>
    <xf numFmtId="0" fontId="2" fillId="0" borderId="0" xfId="0" applyFont="1" applyAlignment="1">
      <alignment horizontal="left" vertical="center"/>
    </xf>
    <xf numFmtId="0" fontId="2" fillId="2" borderId="0" xfId="0" applyFont="1" applyFill="1" applyAlignment="1">
      <alignment horizontal="right" vertical="center"/>
    </xf>
    <xf numFmtId="0" fontId="10" fillId="2" borderId="14" xfId="0" applyFont="1" applyFill="1" applyBorder="1" applyAlignment="1">
      <alignment horizontal="left" vertical="center"/>
    </xf>
    <xf numFmtId="0" fontId="11" fillId="2" borderId="0" xfId="0" applyFont="1" applyFill="1" applyAlignment="1">
      <alignment horizontal="left" vertical="center"/>
    </xf>
    <xf numFmtId="0" fontId="2" fillId="0" borderId="14" xfId="0" applyFont="1" applyBorder="1" applyAlignment="1">
      <alignment horizontal="lef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0" xfId="0" applyFont="1" applyFill="1" applyBorder="1" applyAlignment="1">
      <alignment horizontal="center" vertical="center"/>
    </xf>
    <xf numFmtId="0" fontId="3" fillId="2" borderId="2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8" fillId="2" borderId="0" xfId="0" applyFont="1" applyFill="1" applyAlignment="1">
      <alignment vertical="center"/>
    </xf>
    <xf numFmtId="0" fontId="2"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9" fillId="2"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horizontal="left" vertical="center"/>
    </xf>
    <xf numFmtId="0" fontId="17" fillId="2" borderId="0" xfId="0" applyFont="1" applyFill="1" applyAlignment="1">
      <alignment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wrapText="1"/>
      <protection locked="0"/>
    </xf>
    <xf numFmtId="0" fontId="19" fillId="2" borderId="0" xfId="0" applyFont="1" applyFill="1" applyAlignment="1">
      <alignment horizontal="left" vertical="center"/>
    </xf>
    <xf numFmtId="0" fontId="2" fillId="3" borderId="0" xfId="0" applyFont="1" applyFill="1" applyAlignment="1">
      <alignment horizontal="left" vertical="center"/>
    </xf>
    <xf numFmtId="0" fontId="21" fillId="2" borderId="0" xfId="0" applyFont="1" applyFill="1" applyAlignment="1">
      <alignment horizontal="left" vertical="center"/>
    </xf>
    <xf numFmtId="0" fontId="8" fillId="2" borderId="15" xfId="0" applyFont="1" applyFill="1" applyBorder="1" applyAlignment="1">
      <alignment vertical="center"/>
    </xf>
    <xf numFmtId="0" fontId="5" fillId="2" borderId="0" xfId="0" applyFont="1" applyFill="1" applyAlignment="1">
      <alignment horizontal="left" vertical="center"/>
    </xf>
    <xf numFmtId="0" fontId="2" fillId="2" borderId="0" xfId="0" applyFont="1" applyFill="1" applyAlignment="1">
      <alignment vertical="top" wrapText="1"/>
    </xf>
    <xf numFmtId="0" fontId="2" fillId="2" borderId="14" xfId="0" applyFont="1" applyFill="1" applyBorder="1" applyAlignment="1">
      <alignment vertical="top" wrapText="1"/>
    </xf>
    <xf numFmtId="0" fontId="2" fillId="2" borderId="0" xfId="0" applyFont="1" applyFill="1" applyAlignment="1">
      <alignment horizontal="left" vertical="top" wrapText="1"/>
    </xf>
    <xf numFmtId="0" fontId="18" fillId="0" borderId="0" xfId="0" applyFont="1" applyAlignment="1" applyProtection="1">
      <alignment horizontal="right" vertical="center"/>
      <protection locked="0"/>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left" vertical="top"/>
    </xf>
    <xf numFmtId="0" fontId="20" fillId="2" borderId="0" xfId="0" applyFont="1" applyFill="1" applyAlignment="1">
      <alignment vertical="center"/>
    </xf>
    <xf numFmtId="0" fontId="20" fillId="3" borderId="0" xfId="0" applyFont="1" applyFill="1" applyAlignment="1">
      <alignment vertical="center"/>
    </xf>
    <xf numFmtId="0" fontId="26" fillId="2" borderId="0" xfId="0" applyFont="1" applyFill="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0" fontId="2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3" fontId="18" fillId="0" borderId="0" xfId="1" applyFont="1" applyFill="1" applyAlignment="1" applyProtection="1">
      <alignment horizontal="left" vertical="center"/>
      <protection locked="0"/>
    </xf>
    <xf numFmtId="43" fontId="18" fillId="0" borderId="0" xfId="1" applyFont="1" applyFill="1" applyBorder="1" applyAlignment="1" applyProtection="1">
      <alignment horizontal="left" vertical="center"/>
      <protection locked="0"/>
    </xf>
    <xf numFmtId="43" fontId="18" fillId="0" borderId="0" xfId="1" applyFont="1" applyFill="1" applyBorder="1" applyAlignment="1" applyProtection="1">
      <alignment horizontal="center" vertical="center"/>
      <protection locked="0"/>
    </xf>
    <xf numFmtId="165" fontId="18" fillId="0" borderId="0" xfId="0" applyNumberFormat="1" applyFont="1" applyAlignment="1" applyProtection="1">
      <alignment horizontal="center" vertical="center"/>
      <protection locked="0"/>
    </xf>
    <xf numFmtId="166" fontId="18" fillId="0" borderId="0" xfId="0" applyNumberFormat="1" applyFont="1" applyAlignment="1" applyProtection="1">
      <alignment horizontal="center" vertical="center"/>
      <protection locked="0"/>
    </xf>
    <xf numFmtId="166" fontId="18" fillId="0" borderId="0" xfId="0" applyNumberFormat="1" applyFont="1" applyAlignment="1" applyProtection="1">
      <alignment horizontal="left" vertical="center"/>
      <protection locked="0"/>
    </xf>
    <xf numFmtId="0" fontId="28" fillId="2" borderId="0" xfId="0" applyFont="1" applyFill="1" applyAlignment="1">
      <alignment horizontal="left" vertical="center"/>
    </xf>
    <xf numFmtId="0" fontId="9" fillId="2" borderId="0" xfId="0" applyFont="1" applyFill="1" applyAlignment="1">
      <alignment vertical="top" wrapText="1"/>
    </xf>
    <xf numFmtId="43" fontId="18" fillId="0" borderId="0" xfId="1" applyFont="1" applyFill="1" applyAlignment="1" applyProtection="1">
      <alignment horizontal="right" vertical="center"/>
      <protection locked="0"/>
    </xf>
    <xf numFmtId="9" fontId="29" fillId="0" borderId="0" xfId="2" applyFont="1"/>
    <xf numFmtId="2" fontId="18" fillId="0" borderId="0" xfId="0" applyNumberFormat="1" applyFont="1" applyAlignment="1" applyProtection="1">
      <alignment vertical="center"/>
      <protection locked="0"/>
    </xf>
    <xf numFmtId="43" fontId="18" fillId="0" borderId="0" xfId="0" applyNumberFormat="1" applyFont="1" applyAlignment="1" applyProtection="1">
      <alignment horizontal="left" vertical="center"/>
      <protection locked="0"/>
    </xf>
    <xf numFmtId="0" fontId="30" fillId="2" borderId="0" xfId="0" applyFont="1" applyFill="1" applyAlignment="1">
      <alignment vertical="center" wrapText="1"/>
    </xf>
    <xf numFmtId="0" fontId="26" fillId="2" borderId="0" xfId="0" applyFont="1" applyFill="1" applyAlignment="1">
      <alignment vertical="center"/>
    </xf>
    <xf numFmtId="0" fontId="19" fillId="2" borderId="20" xfId="0" applyFont="1" applyFill="1" applyBorder="1" applyAlignment="1">
      <alignment horizontal="right" vertical="center"/>
    </xf>
    <xf numFmtId="0" fontId="32" fillId="2" borderId="0" xfId="0" applyFont="1" applyFill="1"/>
    <xf numFmtId="0" fontId="33" fillId="2" borderId="0" xfId="0" applyFont="1" applyFill="1"/>
    <xf numFmtId="0" fontId="34" fillId="2" borderId="0" xfId="0" applyFont="1" applyFill="1" applyAlignment="1">
      <alignment vertical="center"/>
    </xf>
    <xf numFmtId="0" fontId="32" fillId="2" borderId="14" xfId="0" applyFont="1" applyFill="1" applyBorder="1"/>
    <xf numFmtId="0" fontId="33" fillId="2" borderId="14" xfId="0" applyFont="1" applyFill="1" applyBorder="1"/>
    <xf numFmtId="0" fontId="36" fillId="2" borderId="0" xfId="0" applyFont="1" applyFill="1"/>
    <xf numFmtId="0" fontId="38" fillId="2" borderId="0" xfId="0" applyFont="1" applyFill="1"/>
    <xf numFmtId="49" fontId="33" fillId="2" borderId="0" xfId="0" applyNumberFormat="1" applyFont="1" applyFill="1" applyAlignment="1">
      <alignment horizontal="center"/>
    </xf>
    <xf numFmtId="0" fontId="33" fillId="2" borderId="0" xfId="0" applyFont="1" applyFill="1" applyAlignment="1">
      <alignment vertical="top" wrapText="1"/>
    </xf>
    <xf numFmtId="0" fontId="33" fillId="2" borderId="0" xfId="0" applyFont="1" applyFill="1" applyAlignment="1">
      <alignment horizontal="center" vertical="top" wrapText="1"/>
    </xf>
    <xf numFmtId="0" fontId="33" fillId="2" borderId="0" xfId="0" applyFont="1" applyFill="1" applyAlignment="1">
      <alignment horizontal="left" vertical="top" wrapText="1"/>
    </xf>
    <xf numFmtId="49" fontId="33" fillId="2" borderId="0" xfId="0" applyNumberFormat="1" applyFont="1" applyFill="1"/>
    <xf numFmtId="0" fontId="33" fillId="3" borderId="46" xfId="0" applyFont="1" applyFill="1" applyBorder="1"/>
    <xf numFmtId="0" fontId="40" fillId="2" borderId="0" xfId="0" applyFont="1" applyFill="1"/>
    <xf numFmtId="0" fontId="33" fillId="2" borderId="0" xfId="0" applyFont="1" applyFill="1" applyAlignment="1">
      <alignment horizontal="center"/>
    </xf>
    <xf numFmtId="0" fontId="33" fillId="2" borderId="0" xfId="0" applyFont="1" applyFill="1" applyAlignment="1">
      <alignment horizontal="left" vertical="top"/>
    </xf>
    <xf numFmtId="0" fontId="2" fillId="2" borderId="2" xfId="0" applyFont="1" applyFill="1" applyBorder="1" applyAlignment="1">
      <alignment horizontal="center" vertical="center"/>
    </xf>
    <xf numFmtId="0" fontId="19" fillId="3" borderId="0" xfId="0" applyFont="1" applyFill="1" applyAlignment="1">
      <alignment horizontal="left" vertical="center"/>
    </xf>
    <xf numFmtId="0" fontId="21" fillId="2" borderId="0" xfId="0" applyFont="1" applyFill="1" applyAlignment="1">
      <alignment horizontal="right" vertical="center"/>
    </xf>
    <xf numFmtId="0" fontId="2" fillId="2" borderId="0" xfId="0" applyFont="1" applyFill="1" applyAlignment="1" applyProtection="1">
      <alignment vertical="center"/>
      <protection locked="0"/>
    </xf>
    <xf numFmtId="0" fontId="9" fillId="2" borderId="0" xfId="0" applyFont="1" applyFill="1" applyAlignment="1">
      <alignment vertical="center" wrapText="1"/>
    </xf>
    <xf numFmtId="0" fontId="43" fillId="2" borderId="14" xfId="0" applyFont="1" applyFill="1" applyBorder="1" applyAlignment="1">
      <alignment horizontal="right"/>
    </xf>
    <xf numFmtId="0" fontId="44" fillId="3" borderId="0" xfId="0" applyFont="1" applyFill="1" applyAlignment="1">
      <alignment horizontal="left" vertical="center"/>
    </xf>
    <xf numFmtId="0" fontId="18" fillId="2" borderId="0" xfId="0" applyFont="1" applyFill="1" applyAlignment="1">
      <alignment horizontal="left" vertical="center"/>
    </xf>
    <xf numFmtId="0" fontId="46" fillId="2" borderId="0" xfId="0" applyFont="1" applyFill="1" applyAlignment="1">
      <alignment vertical="center"/>
    </xf>
    <xf numFmtId="0" fontId="46" fillId="2" borderId="0" xfId="0" applyFont="1" applyFill="1" applyAlignment="1">
      <alignment horizontal="right" vertical="center"/>
    </xf>
    <xf numFmtId="0" fontId="18" fillId="3" borderId="0" xfId="0" applyFont="1" applyFill="1" applyAlignment="1">
      <alignment horizontal="left" vertical="center"/>
    </xf>
    <xf numFmtId="0" fontId="48" fillId="2" borderId="0" xfId="0" applyFont="1" applyFill="1" applyAlignment="1">
      <alignment horizontal="left" vertical="center"/>
    </xf>
    <xf numFmtId="0" fontId="49" fillId="2" borderId="0" xfId="0" applyFont="1" applyFill="1" applyAlignment="1">
      <alignment horizontal="left" vertical="center"/>
    </xf>
    <xf numFmtId="0" fontId="18" fillId="2" borderId="14" xfId="0" applyFont="1" applyFill="1" applyBorder="1" applyAlignment="1">
      <alignment horizontal="left" vertical="center"/>
    </xf>
    <xf numFmtId="0" fontId="18" fillId="0" borderId="0" xfId="0" applyFont="1" applyAlignment="1" applyProtection="1">
      <alignment vertical="center" textRotation="90"/>
      <protection locked="0"/>
    </xf>
    <xf numFmtId="0" fontId="41" fillId="2" borderId="38"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39" xfId="0" applyFont="1" applyFill="1" applyBorder="1" applyAlignment="1">
      <alignment horizontal="center" vertical="center"/>
    </xf>
    <xf numFmtId="0" fontId="41" fillId="2" borderId="28" xfId="0" applyFont="1" applyFill="1" applyBorder="1" applyAlignment="1">
      <alignment horizontal="center" vertical="center"/>
    </xf>
    <xf numFmtId="0" fontId="41" fillId="2" borderId="29" xfId="0" applyFont="1" applyFill="1" applyBorder="1" applyAlignment="1">
      <alignment horizontal="center" vertical="center"/>
    </xf>
    <xf numFmtId="0" fontId="41" fillId="2" borderId="30" xfId="0" applyFont="1" applyFill="1" applyBorder="1" applyAlignment="1">
      <alignment horizontal="center" vertical="center"/>
    </xf>
    <xf numFmtId="0" fontId="33" fillId="2" borderId="0" xfId="0" applyFont="1" applyFill="1" applyAlignment="1">
      <alignment horizontal="left" vertical="top" wrapText="1"/>
    </xf>
    <xf numFmtId="0" fontId="42" fillId="2" borderId="38" xfId="0" applyFont="1" applyFill="1" applyBorder="1" applyAlignment="1">
      <alignment horizontal="center" vertical="center"/>
    </xf>
    <xf numFmtId="0" fontId="42" fillId="2" borderId="36" xfId="0" applyFont="1" applyFill="1" applyBorder="1" applyAlignment="1">
      <alignment horizontal="center" vertical="center"/>
    </xf>
    <xf numFmtId="0" fontId="42" fillId="2" borderId="39" xfId="0" applyFont="1" applyFill="1" applyBorder="1" applyAlignment="1">
      <alignment horizontal="center" vertical="center"/>
    </xf>
    <xf numFmtId="0" fontId="42" fillId="2" borderId="28" xfId="0" applyFont="1" applyFill="1" applyBorder="1" applyAlignment="1">
      <alignment horizontal="center" vertical="center"/>
    </xf>
    <xf numFmtId="0" fontId="42" fillId="2" borderId="29" xfId="0" applyFont="1" applyFill="1" applyBorder="1" applyAlignment="1">
      <alignment horizontal="center" vertical="center"/>
    </xf>
    <xf numFmtId="0" fontId="42" fillId="2" borderId="30" xfId="0" applyFont="1" applyFill="1" applyBorder="1" applyAlignment="1">
      <alignment horizontal="center" vertical="center"/>
    </xf>
    <xf numFmtId="0" fontId="32" fillId="2" borderId="40" xfId="0" applyFont="1" applyFill="1" applyBorder="1" applyAlignment="1">
      <alignment horizontal="center"/>
    </xf>
    <xf numFmtId="0" fontId="32" fillId="2" borderId="41" xfId="0" applyFont="1" applyFill="1" applyBorder="1" applyAlignment="1">
      <alignment horizontal="center"/>
    </xf>
    <xf numFmtId="0" fontId="32" fillId="2" borderId="42" xfId="0" applyFont="1" applyFill="1" applyBorder="1" applyAlignment="1">
      <alignment horizontal="center"/>
    </xf>
    <xf numFmtId="0" fontId="32" fillId="2" borderId="43" xfId="0" applyFont="1" applyFill="1" applyBorder="1" applyAlignment="1">
      <alignment horizontal="center"/>
    </xf>
    <xf numFmtId="0" fontId="32" fillId="2" borderId="44" xfId="0" applyFont="1" applyFill="1" applyBorder="1" applyAlignment="1">
      <alignment horizontal="center"/>
    </xf>
    <xf numFmtId="0" fontId="32" fillId="2" borderId="45" xfId="0" applyFont="1" applyFill="1" applyBorder="1" applyAlignment="1">
      <alignment horizontal="center"/>
    </xf>
    <xf numFmtId="0" fontId="33" fillId="3" borderId="10" xfId="0" applyFont="1" applyFill="1" applyBorder="1" applyAlignment="1">
      <alignment horizontal="center"/>
    </xf>
    <xf numFmtId="0" fontId="33" fillId="3" borderId="11" xfId="0" applyFont="1" applyFill="1" applyBorder="1" applyAlignment="1">
      <alignment horizontal="center"/>
    </xf>
    <xf numFmtId="0" fontId="33" fillId="3" borderId="12" xfId="0" applyFont="1" applyFill="1" applyBorder="1" applyAlignment="1">
      <alignment horizontal="center"/>
    </xf>
    <xf numFmtId="0" fontId="33" fillId="5" borderId="10" xfId="0" applyFont="1" applyFill="1" applyBorder="1" applyAlignment="1">
      <alignment horizontal="center"/>
    </xf>
    <xf numFmtId="0" fontId="33" fillId="5" borderId="11" xfId="0" applyFont="1" applyFill="1" applyBorder="1" applyAlignment="1">
      <alignment horizontal="center"/>
    </xf>
    <xf numFmtId="0" fontId="33" fillId="5" borderId="12" xfId="0" applyFont="1" applyFill="1" applyBorder="1" applyAlignment="1">
      <alignment horizontal="center"/>
    </xf>
    <xf numFmtId="0" fontId="33" fillId="2" borderId="38" xfId="0" applyFont="1" applyFill="1" applyBorder="1" applyAlignment="1">
      <alignment horizontal="center"/>
    </xf>
    <xf numFmtId="0" fontId="33" fillId="2" borderId="39" xfId="0" applyFont="1" applyFill="1" applyBorder="1" applyAlignment="1">
      <alignment horizontal="center"/>
    </xf>
    <xf numFmtId="0" fontId="33" fillId="2" borderId="28" xfId="0" applyFont="1" applyFill="1" applyBorder="1" applyAlignment="1">
      <alignment horizontal="center"/>
    </xf>
    <xf numFmtId="0" fontId="33" fillId="2" borderId="30" xfId="0" applyFont="1" applyFill="1" applyBorder="1" applyAlignment="1">
      <alignment horizontal="center"/>
    </xf>
    <xf numFmtId="0" fontId="37" fillId="2" borderId="38" xfId="0" applyFont="1" applyFill="1" applyBorder="1" applyAlignment="1">
      <alignment horizontal="center" vertical="center"/>
    </xf>
    <xf numFmtId="0" fontId="37" fillId="2" borderId="36"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30" xfId="0" applyFont="1" applyFill="1" applyBorder="1" applyAlignment="1">
      <alignment horizontal="center" vertical="center"/>
    </xf>
    <xf numFmtId="0" fontId="34" fillId="2" borderId="0" xfId="0" applyFont="1" applyFill="1" applyAlignment="1">
      <alignment horizontal="left" vertical="center"/>
    </xf>
    <xf numFmtId="0" fontId="35" fillId="2" borderId="14" xfId="3" applyFill="1" applyBorder="1" applyAlignment="1">
      <alignment horizontal="right"/>
    </xf>
    <xf numFmtId="0" fontId="35" fillId="2" borderId="40" xfId="3" applyFill="1" applyBorder="1" applyAlignment="1">
      <alignment horizontal="center" vertical="center" wrapText="1"/>
    </xf>
    <xf numFmtId="0" fontId="35" fillId="2" borderId="41" xfId="3" applyFill="1" applyBorder="1" applyAlignment="1">
      <alignment horizontal="center" vertical="center" wrapText="1"/>
    </xf>
    <xf numFmtId="0" fontId="35" fillId="2" borderId="42" xfId="3" applyFill="1" applyBorder="1" applyAlignment="1">
      <alignment horizontal="center" vertical="center" wrapText="1"/>
    </xf>
    <xf numFmtId="0" fontId="35" fillId="2" borderId="43" xfId="3" applyFill="1" applyBorder="1" applyAlignment="1">
      <alignment horizontal="center" vertical="center" wrapText="1"/>
    </xf>
    <xf numFmtId="0" fontId="35" fillId="2" borderId="44" xfId="3" applyFill="1" applyBorder="1" applyAlignment="1">
      <alignment horizontal="center" vertical="center" wrapText="1"/>
    </xf>
    <xf numFmtId="0" fontId="35" fillId="2" borderId="45" xfId="3" applyFill="1" applyBorder="1" applyAlignment="1">
      <alignment horizontal="center" vertical="center" wrapText="1"/>
    </xf>
    <xf numFmtId="2" fontId="18" fillId="3" borderId="7" xfId="0" applyNumberFormat="1" applyFont="1" applyFill="1" applyBorder="1" applyAlignment="1" applyProtection="1">
      <alignment horizontal="right" vertical="center"/>
      <protection locked="0"/>
    </xf>
    <xf numFmtId="0" fontId="2" fillId="2" borderId="0" xfId="0" applyFont="1" applyFill="1" applyAlignment="1">
      <alignment horizontal="left" vertical="top" wrapText="1"/>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0" borderId="0" xfId="0" applyFont="1" applyAlignment="1">
      <alignment horizontal="left" vertical="top"/>
    </xf>
    <xf numFmtId="0" fontId="8" fillId="2" borderId="27"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2" fillId="2" borderId="0" xfId="0" applyFont="1" applyFill="1" applyAlignment="1">
      <alignment horizontal="left" vertical="top"/>
    </xf>
    <xf numFmtId="0" fontId="9" fillId="2" borderId="0" xfId="0" applyFont="1" applyFill="1" applyAlignment="1">
      <alignment horizontal="left" vertical="top" wrapText="1"/>
    </xf>
    <xf numFmtId="164" fontId="2" fillId="3" borderId="19" xfId="1" applyNumberFormat="1" applyFont="1" applyFill="1" applyBorder="1" applyAlignment="1" applyProtection="1">
      <alignment horizontal="center" vertical="center"/>
    </xf>
    <xf numFmtId="164" fontId="2" fillId="3" borderId="20" xfId="1" applyNumberFormat="1" applyFont="1" applyFill="1" applyBorder="1" applyAlignment="1" applyProtection="1">
      <alignment horizontal="center" vertical="center"/>
    </xf>
    <xf numFmtId="164" fontId="2" fillId="3" borderId="21" xfId="1" applyNumberFormat="1" applyFont="1" applyFill="1" applyBorder="1" applyAlignment="1" applyProtection="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2" fontId="2" fillId="3" borderId="17" xfId="1" applyNumberFormat="1" applyFont="1" applyFill="1" applyBorder="1" applyAlignment="1" applyProtection="1">
      <alignment horizontal="left" vertical="center"/>
      <protection locked="0"/>
    </xf>
    <xf numFmtId="2" fontId="2" fillId="3" borderId="16" xfId="1" applyNumberFormat="1" applyFont="1" applyFill="1" applyBorder="1" applyAlignment="1" applyProtection="1">
      <alignment horizontal="left" vertical="center"/>
      <protection locked="0"/>
    </xf>
    <xf numFmtId="2" fontId="2" fillId="3" borderId="18" xfId="1" applyNumberFormat="1" applyFont="1" applyFill="1" applyBorder="1" applyAlignment="1" applyProtection="1">
      <alignment horizontal="left" vertical="center"/>
      <protection locked="0"/>
    </xf>
    <xf numFmtId="164" fontId="2" fillId="3" borderId="17" xfId="1" applyNumberFormat="1" applyFont="1" applyFill="1" applyBorder="1" applyAlignment="1" applyProtection="1">
      <alignment horizontal="center" vertical="center"/>
    </xf>
    <xf numFmtId="164" fontId="2" fillId="3" borderId="16" xfId="1" applyNumberFormat="1" applyFont="1" applyFill="1" applyBorder="1" applyAlignment="1" applyProtection="1">
      <alignment horizontal="center" vertical="center"/>
    </xf>
    <xf numFmtId="164" fontId="2" fillId="3" borderId="18" xfId="1" applyNumberFormat="1" applyFont="1" applyFill="1" applyBorder="1" applyAlignment="1" applyProtection="1">
      <alignment horizontal="center"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2" fontId="2" fillId="3" borderId="19" xfId="0" applyNumberFormat="1" applyFont="1" applyFill="1" applyBorder="1" applyAlignment="1" applyProtection="1">
      <alignment horizontal="left" vertical="center"/>
      <protection locked="0"/>
    </xf>
    <xf numFmtId="2" fontId="2" fillId="3" borderId="20" xfId="0" applyNumberFormat="1" applyFont="1" applyFill="1" applyBorder="1" applyAlignment="1" applyProtection="1">
      <alignment horizontal="left" vertical="center"/>
      <protection locked="0"/>
    </xf>
    <xf numFmtId="2" fontId="2" fillId="3" borderId="21" xfId="0" applyNumberFormat="1" applyFont="1" applyFill="1" applyBorder="1" applyAlignment="1" applyProtection="1">
      <alignment horizontal="left" vertical="center"/>
      <protection locked="0"/>
    </xf>
    <xf numFmtId="164" fontId="2" fillId="3" borderId="19" xfId="1" applyNumberFormat="1" applyFont="1" applyFill="1" applyBorder="1" applyAlignment="1" applyProtection="1">
      <alignment horizontal="left" vertical="center"/>
      <protection locked="0"/>
    </xf>
    <xf numFmtId="164" fontId="2" fillId="3" borderId="21" xfId="1" applyNumberFormat="1" applyFont="1" applyFill="1" applyBorder="1" applyAlignment="1" applyProtection="1">
      <alignment horizontal="left" vertical="center"/>
      <protection locked="0"/>
    </xf>
    <xf numFmtId="2" fontId="2" fillId="3" borderId="19" xfId="1" applyNumberFormat="1" applyFont="1" applyFill="1" applyBorder="1" applyAlignment="1" applyProtection="1">
      <alignment horizontal="left" vertical="center"/>
      <protection locked="0"/>
    </xf>
    <xf numFmtId="2" fontId="2" fillId="3" borderId="20" xfId="1" applyNumberFormat="1" applyFont="1" applyFill="1" applyBorder="1" applyAlignment="1" applyProtection="1">
      <alignment horizontal="left" vertical="center"/>
      <protection locked="0"/>
    </xf>
    <xf numFmtId="2" fontId="2" fillId="3" borderId="21" xfId="1" applyNumberFormat="1" applyFont="1" applyFill="1" applyBorder="1" applyAlignment="1" applyProtection="1">
      <alignment horizontal="left" vertical="center"/>
      <protection locked="0"/>
    </xf>
    <xf numFmtId="0" fontId="2" fillId="2" borderId="17"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3" borderId="17"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2" fontId="2" fillId="3" borderId="17" xfId="0" applyNumberFormat="1" applyFont="1" applyFill="1" applyBorder="1" applyAlignment="1" applyProtection="1">
      <alignment horizontal="left" vertical="center"/>
      <protection locked="0"/>
    </xf>
    <xf numFmtId="2" fontId="2" fillId="3" borderId="16" xfId="0" applyNumberFormat="1" applyFont="1" applyFill="1" applyBorder="1" applyAlignment="1" applyProtection="1">
      <alignment horizontal="left" vertical="center"/>
      <protection locked="0"/>
    </xf>
    <xf numFmtId="2" fontId="2" fillId="3" borderId="18" xfId="0" applyNumberFormat="1" applyFont="1" applyFill="1" applyBorder="1" applyAlignment="1" applyProtection="1">
      <alignment horizontal="left" vertical="center"/>
      <protection locked="0"/>
    </xf>
    <xf numFmtId="164" fontId="2" fillId="3" borderId="17" xfId="1" applyNumberFormat="1" applyFont="1" applyFill="1" applyBorder="1" applyAlignment="1" applyProtection="1">
      <alignment horizontal="left" vertical="center"/>
      <protection locked="0"/>
    </xf>
    <xf numFmtId="164" fontId="2" fillId="3" borderId="18" xfId="1" applyNumberFormat="1" applyFont="1" applyFill="1" applyBorder="1" applyAlignment="1" applyProtection="1">
      <alignment horizontal="left" vertical="center"/>
      <protection locked="0"/>
    </xf>
    <xf numFmtId="164" fontId="2" fillId="2" borderId="1" xfId="1" applyNumberFormat="1" applyFont="1" applyFill="1" applyBorder="1" applyAlignment="1" applyProtection="1">
      <alignment horizontal="center" vertical="center"/>
    </xf>
    <xf numFmtId="164" fontId="2" fillId="2" borderId="2" xfId="1" applyNumberFormat="1" applyFont="1" applyFill="1" applyBorder="1" applyAlignment="1" applyProtection="1">
      <alignment horizontal="center" vertical="center"/>
    </xf>
    <xf numFmtId="164" fontId="2" fillId="2" borderId="3" xfId="1" applyNumberFormat="1" applyFont="1" applyFill="1" applyBorder="1" applyAlignment="1" applyProtection="1">
      <alignment horizontal="center" vertical="center"/>
    </xf>
    <xf numFmtId="164" fontId="2" fillId="2" borderId="6" xfId="1" applyNumberFormat="1" applyFont="1" applyFill="1" applyBorder="1" applyAlignment="1" applyProtection="1">
      <alignment horizontal="center" vertical="center"/>
    </xf>
    <xf numFmtId="164" fontId="2" fillId="2" borderId="7" xfId="1" applyNumberFormat="1" applyFont="1" applyFill="1" applyBorder="1" applyAlignment="1" applyProtection="1">
      <alignment horizontal="center" vertical="center"/>
    </xf>
    <xf numFmtId="164" fontId="2" fillId="2" borderId="8" xfId="1" applyNumberFormat="1" applyFont="1" applyFill="1" applyBorder="1" applyAlignment="1" applyProtection="1">
      <alignment horizontal="center" vertical="center"/>
    </xf>
    <xf numFmtId="0" fontId="2" fillId="2" borderId="25" xfId="0" applyFont="1" applyFill="1" applyBorder="1" applyAlignment="1">
      <alignment horizontal="left" vertical="center"/>
    </xf>
    <xf numFmtId="0" fontId="2" fillId="2" borderId="15" xfId="0" applyFont="1" applyFill="1" applyBorder="1" applyAlignment="1">
      <alignment horizontal="left" vertical="center"/>
    </xf>
    <xf numFmtId="0" fontId="2" fillId="2" borderId="26"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6" xfId="0" applyFont="1" applyFill="1" applyBorder="1" applyAlignment="1">
      <alignment horizontal="center" vertical="center"/>
    </xf>
    <xf numFmtId="164" fontId="2" fillId="2" borderId="25" xfId="1" applyNumberFormat="1" applyFont="1" applyFill="1" applyBorder="1" applyAlignment="1" applyProtection="1">
      <alignment horizontal="center" vertical="center"/>
    </xf>
    <xf numFmtId="164" fontId="2" fillId="2" borderId="15" xfId="1" applyNumberFormat="1" applyFont="1" applyFill="1" applyBorder="1" applyAlignment="1" applyProtection="1">
      <alignment horizontal="center" vertical="center"/>
    </xf>
    <xf numFmtId="164" fontId="2" fillId="2" borderId="26" xfId="1" applyNumberFormat="1" applyFont="1" applyFill="1" applyBorder="1" applyAlignment="1" applyProtection="1">
      <alignment horizontal="center" vertical="center"/>
    </xf>
    <xf numFmtId="164" fontId="2" fillId="3" borderId="6" xfId="1" applyNumberFormat="1" applyFont="1" applyFill="1" applyBorder="1" applyAlignment="1" applyProtection="1">
      <alignment horizontal="center" vertical="center"/>
    </xf>
    <xf numFmtId="164" fontId="2" fillId="3" borderId="7" xfId="1" applyNumberFormat="1" applyFont="1" applyFill="1" applyBorder="1" applyAlignment="1" applyProtection="1">
      <alignment horizontal="center" vertical="center"/>
    </xf>
    <xf numFmtId="164" fontId="2" fillId="3" borderId="8" xfId="1" applyNumberFormat="1" applyFont="1" applyFill="1" applyBorder="1" applyAlignment="1" applyProtection="1">
      <alignment horizontal="center"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3" borderId="6"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2" fontId="2" fillId="3" borderId="6" xfId="0" applyNumberFormat="1" applyFont="1" applyFill="1" applyBorder="1" applyAlignment="1" applyProtection="1">
      <alignment horizontal="left" vertical="center"/>
      <protection locked="0"/>
    </xf>
    <xf numFmtId="2" fontId="2" fillId="3" borderId="7" xfId="0" applyNumberFormat="1" applyFont="1" applyFill="1" applyBorder="1" applyAlignment="1" applyProtection="1">
      <alignment horizontal="left" vertical="center"/>
      <protection locked="0"/>
    </xf>
    <xf numFmtId="2" fontId="2" fillId="3" borderId="8" xfId="0" applyNumberFormat="1" applyFont="1" applyFill="1" applyBorder="1" applyAlignment="1" applyProtection="1">
      <alignment horizontal="left" vertical="center"/>
      <protection locked="0"/>
    </xf>
    <xf numFmtId="164" fontId="2" fillId="3" borderId="6" xfId="1" applyNumberFormat="1" applyFont="1" applyFill="1" applyBorder="1" applyAlignment="1" applyProtection="1">
      <alignment horizontal="left" vertical="center"/>
      <protection locked="0"/>
    </xf>
    <xf numFmtId="164" fontId="2" fillId="3" borderId="8" xfId="1" applyNumberFormat="1" applyFont="1" applyFill="1" applyBorder="1" applyAlignment="1" applyProtection="1">
      <alignment horizontal="left" vertical="center"/>
      <protection locked="0"/>
    </xf>
    <xf numFmtId="2" fontId="2" fillId="3" borderId="6" xfId="1" applyNumberFormat="1" applyFont="1" applyFill="1" applyBorder="1" applyAlignment="1" applyProtection="1">
      <alignment horizontal="left" vertical="center"/>
      <protection locked="0"/>
    </xf>
    <xf numFmtId="2" fontId="2" fillId="3" borderId="7" xfId="1" applyNumberFormat="1" applyFont="1" applyFill="1" applyBorder="1" applyAlignment="1" applyProtection="1">
      <alignment horizontal="left" vertical="center"/>
      <protection locked="0"/>
    </xf>
    <xf numFmtId="2" fontId="2" fillId="3" borderId="8" xfId="1" applyNumberFormat="1"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3" borderId="7" xfId="0" applyFont="1" applyFill="1" applyBorder="1" applyAlignment="1" applyProtection="1">
      <alignment horizontal="left" vertical="center"/>
      <protection locked="0"/>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8" fillId="2" borderId="15" xfId="0" applyFont="1" applyFill="1" applyBorder="1" applyAlignment="1">
      <alignment horizontal="left" vertical="center"/>
    </xf>
    <xf numFmtId="0" fontId="2" fillId="3" borderId="7" xfId="0" applyFont="1" applyFill="1" applyBorder="1" applyAlignment="1" applyProtection="1">
      <alignment horizontal="left" vertical="top" wrapText="1"/>
      <protection locked="0"/>
    </xf>
    <xf numFmtId="0" fontId="47" fillId="2" borderId="15" xfId="0" applyFont="1" applyFill="1" applyBorder="1" applyAlignment="1">
      <alignment horizontal="left" vertical="center"/>
    </xf>
    <xf numFmtId="0" fontId="2" fillId="2" borderId="9" xfId="0" applyFont="1" applyFill="1" applyBorder="1" applyAlignment="1">
      <alignment horizontal="left" vertical="center"/>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2" borderId="9" xfId="0" applyFont="1" applyFill="1" applyBorder="1" applyAlignment="1">
      <alignment horizontal="right" vertical="center"/>
    </xf>
    <xf numFmtId="2" fontId="2" fillId="3" borderId="10" xfId="0" applyNumberFormat="1" applyFont="1" applyFill="1" applyBorder="1" applyAlignment="1" applyProtection="1">
      <alignment horizontal="left" vertical="center"/>
      <protection locked="0"/>
    </xf>
    <xf numFmtId="2" fontId="2" fillId="3" borderId="11" xfId="0" applyNumberFormat="1" applyFont="1" applyFill="1" applyBorder="1" applyAlignment="1" applyProtection="1">
      <alignment horizontal="left" vertical="center"/>
      <protection locked="0"/>
    </xf>
    <xf numFmtId="2" fontId="2" fillId="3" borderId="12" xfId="0" applyNumberFormat="1" applyFont="1" applyFill="1" applyBorder="1" applyAlignment="1" applyProtection="1">
      <alignment horizontal="left" vertical="center"/>
      <protection locked="0"/>
    </xf>
    <xf numFmtId="0" fontId="20" fillId="2" borderId="0" xfId="0" applyFont="1" applyFill="1" applyAlignment="1">
      <alignment horizontal="center" vertical="center"/>
    </xf>
    <xf numFmtId="3" fontId="26" fillId="3" borderId="0" xfId="0" applyNumberFormat="1" applyFont="1" applyFill="1" applyAlignment="1" applyProtection="1">
      <alignment horizontal="right" vertical="center" wrapText="1"/>
      <protection locked="0"/>
    </xf>
    <xf numFmtId="0" fontId="26" fillId="2" borderId="0" xfId="0" applyFont="1" applyFill="1" applyAlignment="1">
      <alignment horizontal="left" vertical="center" wrapText="1"/>
    </xf>
    <xf numFmtId="1" fontId="5" fillId="2" borderId="0" xfId="0" applyNumberFormat="1" applyFont="1" applyFill="1" applyAlignment="1">
      <alignment horizontal="right" vertical="center"/>
    </xf>
    <xf numFmtId="2" fontId="26" fillId="3" borderId="0" xfId="0" applyNumberFormat="1" applyFont="1" applyFill="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9" fillId="2" borderId="0" xfId="0" applyFont="1" applyFill="1" applyAlignment="1">
      <alignment horizontal="left" vertical="center" wrapText="1"/>
    </xf>
    <xf numFmtId="0" fontId="2" fillId="3" borderId="38" xfId="0" applyFont="1" applyFill="1" applyBorder="1" applyAlignment="1" applyProtection="1">
      <alignment horizontal="left" vertical="top" wrapText="1"/>
      <protection locked="0"/>
    </xf>
    <xf numFmtId="0" fontId="2" fillId="3" borderId="36" xfId="0" applyFont="1" applyFill="1" applyBorder="1" applyAlignment="1" applyProtection="1">
      <alignment horizontal="left" vertical="top" wrapText="1"/>
      <protection locked="0"/>
    </xf>
    <xf numFmtId="0" fontId="2" fillId="3" borderId="39"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3" borderId="31"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2" fillId="4" borderId="31"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3" borderId="33" xfId="0" applyFont="1" applyFill="1" applyBorder="1" applyAlignment="1" applyProtection="1">
      <alignment horizontal="left" vertical="center"/>
      <protection locked="0"/>
    </xf>
    <xf numFmtId="0" fontId="2" fillId="3" borderId="34" xfId="0" applyFont="1" applyFill="1" applyBorder="1" applyAlignment="1" applyProtection="1">
      <alignment horizontal="left" vertical="center"/>
      <protection locked="0"/>
    </xf>
    <xf numFmtId="0" fontId="2" fillId="4" borderId="33"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3" borderId="35" xfId="0" applyFont="1" applyFill="1" applyBorder="1" applyAlignment="1" applyProtection="1">
      <alignment horizontal="left" vertical="top"/>
      <protection locked="0"/>
    </xf>
    <xf numFmtId="0" fontId="2" fillId="3" borderId="36" xfId="0" applyFont="1" applyFill="1" applyBorder="1" applyAlignment="1" applyProtection="1">
      <alignment horizontal="left" vertical="top"/>
      <protection locked="0"/>
    </xf>
    <xf numFmtId="0" fontId="2" fillId="3" borderId="37" xfId="0" applyFont="1" applyFill="1" applyBorder="1" applyAlignment="1" applyProtection="1">
      <alignment horizontal="left" vertical="top"/>
      <protection locked="0"/>
    </xf>
    <xf numFmtId="0" fontId="2" fillId="4" borderId="35"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3" borderId="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cellXfs>
  <cellStyles count="4">
    <cellStyle name="Lien hypertexte" xfId="3" builtinId="8"/>
    <cellStyle name="Milliers" xfId="1" builtinId="3"/>
    <cellStyle name="Normal" xfId="0" builtinId="0"/>
    <cellStyle name="Pourcentage" xfId="2" builtinId="5"/>
  </cellStyles>
  <dxfs count="18">
    <dxf>
      <font>
        <b/>
        <i val="0"/>
        <color theme="9"/>
      </font>
    </dxf>
    <dxf>
      <fill>
        <patternFill>
          <bgColor theme="5" tint="0.79998168889431442"/>
        </patternFill>
      </fill>
    </dxf>
    <dxf>
      <font>
        <b/>
        <i val="0"/>
        <color theme="5"/>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1"/>
      </font>
    </dxf>
    <dxf>
      <font>
        <b/>
        <i val="0"/>
        <color theme="9"/>
      </font>
    </dxf>
    <dxf>
      <fill>
        <patternFill>
          <bgColor theme="5" tint="0.79998168889431442"/>
        </patternFill>
      </fill>
    </dxf>
    <dxf>
      <font>
        <b/>
        <i val="0"/>
        <color theme="5"/>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fmlaLink="AR1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N$78"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AN$44"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N$12" lockText="1" noThreeD="1"/>
</file>

<file path=xl/ctrlProps/ctrlProp110.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N$2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N$28"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AN$30"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N$3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AN$4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AN$4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fmlaLink="$AN$7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Q6" lockText="1" noThreeD="1"/>
</file>

<file path=xl/ctrlProps/ctrlProp40.xml><?xml version="1.0" encoding="utf-8"?>
<formControlPr xmlns="http://schemas.microsoft.com/office/spreadsheetml/2009/9/main" objectType="Radio" firstButton="1" fmlaLink="$AN$7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N$76"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N$7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R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AN$44"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Q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R6"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fmlaLink="AQ11" lockText="1" noThreeD="1"/>
</file>

<file path=xl/ctrlProps/ctrlProp65.xml><?xml version="1.0" encoding="utf-8"?>
<formControlPr xmlns="http://schemas.microsoft.com/office/spreadsheetml/2009/9/main" objectType="CheckBox" fmlaLink="AR11" lockText="1" noThreeD="1"/>
</file>

<file path=xl/ctrlProps/ctrlProp66.xml><?xml version="1.0" encoding="utf-8"?>
<formControlPr xmlns="http://schemas.microsoft.com/office/spreadsheetml/2009/9/main" objectType="Radio" firstButton="1" fmlaLink="$AN$1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N$2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N$2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AN$30"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AN$34"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AN$40"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AN$43"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Q1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Radio" firstButton="1" fmlaLink="$AN$74"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N$75"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N$76"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6C1DD4C1-5953-42F9-92E5-FD72C0FB3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06544E4E-E2E9-4A34-BE4D-2917182E1B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37B20138-90E4-45E6-A9E6-9AAB815274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537D0142-B4B0-40B0-A3E6-40E841B0B151}"/>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51EE3B3E-798A-48FB-A66B-26ADD8F8A6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A380FC11-4B5C-4ACA-8DE9-54396E865A5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BD02588-134A-4881-84C9-77EFA07BA8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01BB95A9-2D6B-4E7A-9325-AE73F8F0DE9D}"/>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A600190A-C69D-4C8E-8378-423FDEFAA3D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247650</xdr:colOff>
          <xdr:row>15</xdr:row>
          <xdr:rowOff>9525</xdr:rowOff>
        </xdr:from>
        <xdr:to>
          <xdr:col>11</xdr:col>
          <xdr:colOff>57150</xdr:colOff>
          <xdr:row>15</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19050</xdr:rowOff>
        </xdr:from>
        <xdr:to>
          <xdr:col>23</xdr:col>
          <xdr:colOff>238125</xdr:colOff>
          <xdr:row>15</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0</xdr:rowOff>
        </xdr:from>
        <xdr:to>
          <xdr:col>1</xdr:col>
          <xdr:colOff>152400</xdr:colOff>
          <xdr:row>111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190500</xdr:rowOff>
        </xdr:from>
        <xdr:to>
          <xdr:col>1</xdr:col>
          <xdr:colOff>142875</xdr:colOff>
          <xdr:row>112</xdr:row>
          <xdr:rowOff>200025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200025</xdr:rowOff>
        </xdr:from>
        <xdr:to>
          <xdr:col>1</xdr:col>
          <xdr:colOff>142875</xdr:colOff>
          <xdr:row>111</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xdr:row>
          <xdr:rowOff>9525</xdr:rowOff>
        </xdr:from>
        <xdr:to>
          <xdr:col>11</xdr:col>
          <xdr:colOff>57150</xdr:colOff>
          <xdr:row>16</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19050</xdr:rowOff>
        </xdr:from>
        <xdr:to>
          <xdr:col>23</xdr:col>
          <xdr:colOff>238125</xdr:colOff>
          <xdr:row>16</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xdr:row>
          <xdr:rowOff>9525</xdr:rowOff>
        </xdr:from>
        <xdr:to>
          <xdr:col>12</xdr:col>
          <xdr:colOff>171450</xdr:colOff>
          <xdr:row>12</xdr:row>
          <xdr:rowOff>9525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9525</xdr:rowOff>
        </xdr:from>
        <xdr:to>
          <xdr:col>16</xdr:col>
          <xdr:colOff>66675</xdr:colOff>
          <xdr:row>12</xdr:row>
          <xdr:rowOff>9525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133350</xdr:rowOff>
        </xdr:from>
        <xdr:to>
          <xdr:col>17</xdr:col>
          <xdr:colOff>19050</xdr:colOff>
          <xdr:row>12</xdr:row>
          <xdr:rowOff>19050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0</xdr:rowOff>
        </xdr:from>
        <xdr:to>
          <xdr:col>12</xdr:col>
          <xdr:colOff>38100</xdr:colOff>
          <xdr:row>21</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xdr:row>
          <xdr:rowOff>0</xdr:rowOff>
        </xdr:from>
        <xdr:to>
          <xdr:col>16</xdr:col>
          <xdr:colOff>38100</xdr:colOff>
          <xdr:row>21</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190500</xdr:rowOff>
        </xdr:from>
        <xdr:to>
          <xdr:col>17</xdr:col>
          <xdr:colOff>190500</xdr:colOff>
          <xdr:row>21</xdr:row>
          <xdr:rowOff>19050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10</xdr:col>
          <xdr:colOff>428625</xdr:colOff>
          <xdr:row>25</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24</xdr:row>
          <xdr:rowOff>0</xdr:rowOff>
        </xdr:from>
        <xdr:to>
          <xdr:col>13</xdr:col>
          <xdr:colOff>76200</xdr:colOff>
          <xdr:row>25</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238125</xdr:colOff>
          <xdr:row>27</xdr:row>
          <xdr:rowOff>114300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26</xdr:row>
          <xdr:rowOff>47625</xdr:rowOff>
        </xdr:from>
        <xdr:to>
          <xdr:col>22</xdr:col>
          <xdr:colOff>19050</xdr:colOff>
          <xdr:row>27</xdr:row>
          <xdr:rowOff>114300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23</xdr:row>
          <xdr:rowOff>171450</xdr:rowOff>
        </xdr:from>
        <xdr:to>
          <xdr:col>14</xdr:col>
          <xdr:colOff>0</xdr:colOff>
          <xdr:row>25</xdr:row>
          <xdr:rowOff>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23</xdr:col>
          <xdr:colOff>9525</xdr:colOff>
          <xdr:row>27</xdr:row>
          <xdr:rowOff>133350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0</xdr:rowOff>
        </xdr:from>
        <xdr:to>
          <xdr:col>7</xdr:col>
          <xdr:colOff>209550</xdr:colOff>
          <xdr:row>30</xdr:row>
          <xdr:rowOff>142875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171450</xdr:rowOff>
        </xdr:from>
        <xdr:to>
          <xdr:col>7</xdr:col>
          <xdr:colOff>209550</xdr:colOff>
          <xdr:row>31</xdr:row>
          <xdr:rowOff>133350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171450</xdr:rowOff>
        </xdr:from>
        <xdr:to>
          <xdr:col>7</xdr:col>
          <xdr:colOff>209550</xdr:colOff>
          <xdr:row>32</xdr:row>
          <xdr:rowOff>133350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171450</xdr:rowOff>
        </xdr:from>
        <xdr:to>
          <xdr:col>7</xdr:col>
          <xdr:colOff>209550</xdr:colOff>
          <xdr:row>33</xdr:row>
          <xdr:rowOff>133350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171450</xdr:rowOff>
        </xdr:from>
        <xdr:to>
          <xdr:col>7</xdr:col>
          <xdr:colOff>209550</xdr:colOff>
          <xdr:row>34</xdr:row>
          <xdr:rowOff>133350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28575</xdr:rowOff>
        </xdr:from>
        <xdr:to>
          <xdr:col>7</xdr:col>
          <xdr:colOff>209550</xdr:colOff>
          <xdr:row>37</xdr:row>
          <xdr:rowOff>171450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28575</xdr:rowOff>
        </xdr:from>
        <xdr:to>
          <xdr:col>7</xdr:col>
          <xdr:colOff>209550</xdr:colOff>
          <xdr:row>38</xdr:row>
          <xdr:rowOff>171450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19050</xdr:rowOff>
        </xdr:from>
        <xdr:to>
          <xdr:col>7</xdr:col>
          <xdr:colOff>209550</xdr:colOff>
          <xdr:row>39</xdr:row>
          <xdr:rowOff>171450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171450</xdr:rowOff>
        </xdr:from>
        <xdr:to>
          <xdr:col>7</xdr:col>
          <xdr:colOff>209550</xdr:colOff>
          <xdr:row>42</xdr:row>
          <xdr:rowOff>9525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161925</xdr:rowOff>
        </xdr:from>
        <xdr:to>
          <xdr:col>7</xdr:col>
          <xdr:colOff>209550</xdr:colOff>
          <xdr:row>42</xdr:row>
          <xdr:rowOff>180975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152400</xdr:rowOff>
        </xdr:from>
        <xdr:to>
          <xdr:col>8</xdr:col>
          <xdr:colOff>0</xdr:colOff>
          <xdr:row>43</xdr:row>
          <xdr:rowOff>19050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171450</xdr:rowOff>
        </xdr:from>
        <xdr:to>
          <xdr:col>12</xdr:col>
          <xdr:colOff>9525</xdr:colOff>
          <xdr:row>44</xdr:row>
          <xdr:rowOff>28575</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112</xdr:row>
          <xdr:rowOff>180975</xdr:rowOff>
        </xdr:from>
        <xdr:to>
          <xdr:col>1</xdr:col>
          <xdr:colOff>142875</xdr:colOff>
          <xdr:row>113</xdr:row>
          <xdr:rowOff>200025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190500</xdr:rowOff>
        </xdr:from>
        <xdr:to>
          <xdr:col>1</xdr:col>
          <xdr:colOff>142875</xdr:colOff>
          <xdr:row>114</xdr:row>
          <xdr:rowOff>190500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38100</xdr:rowOff>
        </xdr:from>
        <xdr:to>
          <xdr:col>19</xdr:col>
          <xdr:colOff>57150</xdr:colOff>
          <xdr:row>73</xdr:row>
          <xdr:rowOff>257175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21</xdr:col>
          <xdr:colOff>85725</xdr:colOff>
          <xdr:row>73</xdr:row>
          <xdr:rowOff>257175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0</xdr:rowOff>
        </xdr:from>
        <xdr:to>
          <xdr:col>21</xdr:col>
          <xdr:colOff>190500</xdr:colOff>
          <xdr:row>73</xdr:row>
          <xdr:rowOff>266700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38100</xdr:rowOff>
        </xdr:from>
        <xdr:to>
          <xdr:col>19</xdr:col>
          <xdr:colOff>57150</xdr:colOff>
          <xdr:row>74</xdr:row>
          <xdr:rowOff>257175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74</xdr:row>
          <xdr:rowOff>38100</xdr:rowOff>
        </xdr:from>
        <xdr:to>
          <xdr:col>21</xdr:col>
          <xdr:colOff>85725</xdr:colOff>
          <xdr:row>74</xdr:row>
          <xdr:rowOff>257175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21</xdr:col>
          <xdr:colOff>190500</xdr:colOff>
          <xdr:row>75</xdr:row>
          <xdr:rowOff>0</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75</xdr:row>
          <xdr:rowOff>38100</xdr:rowOff>
        </xdr:from>
        <xdr:to>
          <xdr:col>19</xdr:col>
          <xdr:colOff>76200</xdr:colOff>
          <xdr:row>76</xdr:row>
          <xdr:rowOff>38100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75</xdr:row>
          <xdr:rowOff>38100</xdr:rowOff>
        </xdr:from>
        <xdr:to>
          <xdr:col>21</xdr:col>
          <xdr:colOff>104775</xdr:colOff>
          <xdr:row>76</xdr:row>
          <xdr:rowOff>38100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75</xdr:row>
          <xdr:rowOff>38100</xdr:rowOff>
        </xdr:from>
        <xdr:to>
          <xdr:col>22</xdr:col>
          <xdr:colOff>0</xdr:colOff>
          <xdr:row>76</xdr:row>
          <xdr:rowOff>66675</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76</xdr:row>
          <xdr:rowOff>95250</xdr:rowOff>
        </xdr:from>
        <xdr:to>
          <xdr:col>19</xdr:col>
          <xdr:colOff>66675</xdr:colOff>
          <xdr:row>77</xdr:row>
          <xdr:rowOff>152400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76</xdr:row>
          <xdr:rowOff>95250</xdr:rowOff>
        </xdr:from>
        <xdr:to>
          <xdr:col>21</xdr:col>
          <xdr:colOff>95250</xdr:colOff>
          <xdr:row>77</xdr:row>
          <xdr:rowOff>152400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76</xdr:row>
          <xdr:rowOff>19050</xdr:rowOff>
        </xdr:from>
        <xdr:to>
          <xdr:col>22</xdr:col>
          <xdr:colOff>0</xdr:colOff>
          <xdr:row>78</xdr:row>
          <xdr:rowOff>19050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171450</xdr:rowOff>
        </xdr:from>
        <xdr:to>
          <xdr:col>1</xdr:col>
          <xdr:colOff>142875</xdr:colOff>
          <xdr:row>115</xdr:row>
          <xdr:rowOff>180975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115</xdr:row>
          <xdr:rowOff>161925</xdr:rowOff>
        </xdr:from>
        <xdr:to>
          <xdr:col>1</xdr:col>
          <xdr:colOff>142875</xdr:colOff>
          <xdr:row>116</xdr:row>
          <xdr:rowOff>171450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41</xdr:row>
          <xdr:rowOff>190500</xdr:rowOff>
        </xdr:from>
        <xdr:to>
          <xdr:col>12</xdr:col>
          <xdr:colOff>0</xdr:colOff>
          <xdr:row>43</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180975</xdr:rowOff>
        </xdr:from>
        <xdr:to>
          <xdr:col>12</xdr:col>
          <xdr:colOff>0</xdr:colOff>
          <xdr:row>44</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116</xdr:row>
          <xdr:rowOff>142875</xdr:rowOff>
        </xdr:from>
        <xdr:to>
          <xdr:col>1</xdr:col>
          <xdr:colOff>142875</xdr:colOff>
          <xdr:row>117</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76357</xdr:colOff>
      <xdr:row>67</xdr:row>
      <xdr:rowOff>71436</xdr:rowOff>
    </xdr:from>
    <xdr:to>
      <xdr:col>5</xdr:col>
      <xdr:colOff>142875</xdr:colOff>
      <xdr:row>70</xdr:row>
      <xdr:rowOff>209527</xdr:rowOff>
    </xdr:to>
    <xdr:pic>
      <xdr:nvPicPr>
        <xdr:cNvPr id="56" name="Image 55" descr="Logo Final">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795" y="13065124"/>
          <a:ext cx="860268" cy="804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200025</xdr:colOff>
          <xdr:row>29</xdr:row>
          <xdr:rowOff>161925</xdr:rowOff>
        </xdr:from>
        <xdr:to>
          <xdr:col>8</xdr:col>
          <xdr:colOff>19050</xdr:colOff>
          <xdr:row>35</xdr:row>
          <xdr:rowOff>19050</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180975</xdr:rowOff>
        </xdr:from>
        <xdr:to>
          <xdr:col>8</xdr:col>
          <xdr:colOff>19050</xdr:colOff>
          <xdr:row>40</xdr:row>
          <xdr:rowOff>19050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C7A8066B-16DA-40F8-B886-C0C297C1DE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ED4E894-8749-4E8D-BA0B-548328F642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1B589E6A-A790-449A-87E5-CCC7C45C3B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B25C9D9B-1293-4EE8-8098-39A7CF9346FB}"/>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BA211B2D-2AF4-4FCE-9C1E-C070719DE9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5E69002D-3042-4E5D-95B6-AC76C9B2F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13B3D8A-44CF-4214-89A8-F1BA1876880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2A98EE7-054D-419E-97A3-3C387543DB51}"/>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BB75B1F-BF42-4881-94D9-BA4F984621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247650</xdr:colOff>
          <xdr:row>15</xdr:row>
          <xdr:rowOff>9525</xdr:rowOff>
        </xdr:from>
        <xdr:to>
          <xdr:col>11</xdr:col>
          <xdr:colOff>57150</xdr:colOff>
          <xdr:row>15</xdr:row>
          <xdr:rowOff>219075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19050</xdr:rowOff>
        </xdr:from>
        <xdr:to>
          <xdr:col>23</xdr:col>
          <xdr:colOff>238125</xdr:colOff>
          <xdr:row>15</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0</xdr:rowOff>
        </xdr:from>
        <xdr:to>
          <xdr:col>1</xdr:col>
          <xdr:colOff>152400</xdr:colOff>
          <xdr:row>112</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112</xdr:row>
          <xdr:rowOff>190500</xdr:rowOff>
        </xdr:from>
        <xdr:to>
          <xdr:col>1</xdr:col>
          <xdr:colOff>142875</xdr:colOff>
          <xdr:row>113</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200025</xdr:rowOff>
        </xdr:from>
        <xdr:to>
          <xdr:col>1</xdr:col>
          <xdr:colOff>142875</xdr:colOff>
          <xdr:row>112</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xdr:row>
          <xdr:rowOff>9525</xdr:rowOff>
        </xdr:from>
        <xdr:to>
          <xdr:col>11</xdr:col>
          <xdr:colOff>57150</xdr:colOff>
          <xdr:row>16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19050</xdr:rowOff>
        </xdr:from>
        <xdr:to>
          <xdr:col>23</xdr:col>
          <xdr:colOff>238125</xdr:colOff>
          <xdr:row>16</xdr:row>
          <xdr:rowOff>238125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xdr:row>
          <xdr:rowOff>9525</xdr:rowOff>
        </xdr:from>
        <xdr:to>
          <xdr:col>17</xdr:col>
          <xdr:colOff>28575</xdr:colOff>
          <xdr:row>12</xdr:row>
          <xdr:rowOff>9525</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11</xdr:row>
          <xdr:rowOff>9525</xdr:rowOff>
        </xdr:from>
        <xdr:to>
          <xdr:col>20</xdr:col>
          <xdr:colOff>19050</xdr:colOff>
          <xdr:row>12</xdr:row>
          <xdr:rowOff>9525</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133350</xdr:rowOff>
        </xdr:from>
        <xdr:to>
          <xdr:col>20</xdr:col>
          <xdr:colOff>180975</xdr:colOff>
          <xdr:row>12</xdr:row>
          <xdr:rowOff>19050</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0</xdr:rowOff>
        </xdr:from>
        <xdr:to>
          <xdr:col>12</xdr:col>
          <xdr:colOff>38100</xdr:colOff>
          <xdr:row>21</xdr:row>
          <xdr:rowOff>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xdr:row>
          <xdr:rowOff>0</xdr:rowOff>
        </xdr:from>
        <xdr:to>
          <xdr:col>16</xdr:col>
          <xdr:colOff>38100</xdr:colOff>
          <xdr:row>21</xdr:row>
          <xdr:rowOff>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190500</xdr:rowOff>
        </xdr:from>
        <xdr:to>
          <xdr:col>17</xdr:col>
          <xdr:colOff>190500</xdr:colOff>
          <xdr:row>21</xdr:row>
          <xdr:rowOff>19050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10</xdr:col>
          <xdr:colOff>428625</xdr:colOff>
          <xdr:row>25</xdr:row>
          <xdr:rowOff>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24</xdr:row>
          <xdr:rowOff>0</xdr:rowOff>
        </xdr:from>
        <xdr:to>
          <xdr:col>13</xdr:col>
          <xdr:colOff>76200</xdr:colOff>
          <xdr:row>25</xdr:row>
          <xdr:rowOff>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238125</xdr:colOff>
          <xdr:row>27</xdr:row>
          <xdr:rowOff>114300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26</xdr:row>
          <xdr:rowOff>47625</xdr:rowOff>
        </xdr:from>
        <xdr:to>
          <xdr:col>22</xdr:col>
          <xdr:colOff>19050</xdr:colOff>
          <xdr:row>27</xdr:row>
          <xdr:rowOff>114300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23</xdr:row>
          <xdr:rowOff>171450</xdr:rowOff>
        </xdr:from>
        <xdr:to>
          <xdr:col>14</xdr:col>
          <xdr:colOff>0</xdr:colOff>
          <xdr:row>25</xdr:row>
          <xdr:rowOff>0</xdr:rowOff>
        </xdr:to>
        <xdr:sp macro="" textlink="">
          <xdr:nvSpPr>
            <xdr:cNvPr id="8210" name="Group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23</xdr:col>
          <xdr:colOff>9525</xdr:colOff>
          <xdr:row>27</xdr:row>
          <xdr:rowOff>133350</xdr:rowOff>
        </xdr:to>
        <xdr:sp macro="" textlink="">
          <xdr:nvSpPr>
            <xdr:cNvPr id="8211" name="Group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7</xdr:col>
          <xdr:colOff>190500</xdr:colOff>
          <xdr:row>30</xdr:row>
          <xdr:rowOff>142875</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171450</xdr:rowOff>
        </xdr:from>
        <xdr:to>
          <xdr:col>7</xdr:col>
          <xdr:colOff>190500</xdr:colOff>
          <xdr:row>31</xdr:row>
          <xdr:rowOff>133350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171450</xdr:rowOff>
        </xdr:from>
        <xdr:to>
          <xdr:col>7</xdr:col>
          <xdr:colOff>190500</xdr:colOff>
          <xdr:row>32</xdr:row>
          <xdr:rowOff>133350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171450</xdr:rowOff>
        </xdr:from>
        <xdr:to>
          <xdr:col>7</xdr:col>
          <xdr:colOff>190500</xdr:colOff>
          <xdr:row>33</xdr:row>
          <xdr:rowOff>133350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171450</xdr:rowOff>
        </xdr:from>
        <xdr:to>
          <xdr:col>7</xdr:col>
          <xdr:colOff>190500</xdr:colOff>
          <xdr:row>34</xdr:row>
          <xdr:rowOff>133350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28575</xdr:rowOff>
        </xdr:from>
        <xdr:to>
          <xdr:col>7</xdr:col>
          <xdr:colOff>190500</xdr:colOff>
          <xdr:row>37</xdr:row>
          <xdr:rowOff>171450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28575</xdr:rowOff>
        </xdr:from>
        <xdr:to>
          <xdr:col>7</xdr:col>
          <xdr:colOff>190500</xdr:colOff>
          <xdr:row>38</xdr:row>
          <xdr:rowOff>171450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190500</xdr:colOff>
          <xdr:row>39</xdr:row>
          <xdr:rowOff>171450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171450</xdr:rowOff>
        </xdr:from>
        <xdr:to>
          <xdr:col>8</xdr:col>
          <xdr:colOff>9525</xdr:colOff>
          <xdr:row>42</xdr:row>
          <xdr:rowOff>9525</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161925</xdr:rowOff>
        </xdr:from>
        <xdr:to>
          <xdr:col>8</xdr:col>
          <xdr:colOff>9525</xdr:colOff>
          <xdr:row>42</xdr:row>
          <xdr:rowOff>180975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152400</xdr:rowOff>
        </xdr:from>
        <xdr:to>
          <xdr:col>8</xdr:col>
          <xdr:colOff>38100</xdr:colOff>
          <xdr:row>43</xdr:row>
          <xdr:rowOff>19050</xdr:rowOff>
        </xdr:to>
        <xdr:sp macro="" textlink="">
          <xdr:nvSpPr>
            <xdr:cNvPr id="8223" name="Group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171450</xdr:rowOff>
        </xdr:from>
        <xdr:to>
          <xdr:col>12</xdr:col>
          <xdr:colOff>9525</xdr:colOff>
          <xdr:row>44</xdr:row>
          <xdr:rowOff>28575</xdr:rowOff>
        </xdr:to>
        <xdr:sp macro="" textlink="">
          <xdr:nvSpPr>
            <xdr:cNvPr id="8224" name="Group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180975</xdr:rowOff>
        </xdr:from>
        <xdr:to>
          <xdr:col>1</xdr:col>
          <xdr:colOff>142875</xdr:colOff>
          <xdr:row>114</xdr:row>
          <xdr:rowOff>200025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190500</xdr:rowOff>
        </xdr:from>
        <xdr:to>
          <xdr:col>1</xdr:col>
          <xdr:colOff>142875</xdr:colOff>
          <xdr:row>115</xdr:row>
          <xdr:rowOff>190500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38100</xdr:rowOff>
        </xdr:from>
        <xdr:to>
          <xdr:col>19</xdr:col>
          <xdr:colOff>57150</xdr:colOff>
          <xdr:row>73</xdr:row>
          <xdr:rowOff>257175</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21</xdr:col>
          <xdr:colOff>85725</xdr:colOff>
          <xdr:row>73</xdr:row>
          <xdr:rowOff>257175</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72</xdr:row>
          <xdr:rowOff>285750</xdr:rowOff>
        </xdr:from>
        <xdr:to>
          <xdr:col>22</xdr:col>
          <xdr:colOff>0</xdr:colOff>
          <xdr:row>74</xdr:row>
          <xdr:rowOff>19050</xdr:rowOff>
        </xdr:to>
        <xdr:sp macro="" textlink="">
          <xdr:nvSpPr>
            <xdr:cNvPr id="8229" name="Group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38100</xdr:rowOff>
        </xdr:from>
        <xdr:to>
          <xdr:col>19</xdr:col>
          <xdr:colOff>57150</xdr:colOff>
          <xdr:row>74</xdr:row>
          <xdr:rowOff>257175</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74</xdr:row>
          <xdr:rowOff>38100</xdr:rowOff>
        </xdr:from>
        <xdr:to>
          <xdr:col>21</xdr:col>
          <xdr:colOff>85725</xdr:colOff>
          <xdr:row>74</xdr:row>
          <xdr:rowOff>257175</xdr:rowOff>
        </xdr:to>
        <xdr:sp macro="" textlink="">
          <xdr:nvSpPr>
            <xdr:cNvPr id="8231" name="Option Button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28575</xdr:rowOff>
        </xdr:from>
        <xdr:to>
          <xdr:col>22</xdr:col>
          <xdr:colOff>0</xdr:colOff>
          <xdr:row>75</xdr:row>
          <xdr:rowOff>9525</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75</xdr:row>
          <xdr:rowOff>38100</xdr:rowOff>
        </xdr:from>
        <xdr:to>
          <xdr:col>19</xdr:col>
          <xdr:colOff>76200</xdr:colOff>
          <xdr:row>76</xdr:row>
          <xdr:rowOff>9525</xdr:rowOff>
        </xdr:to>
        <xdr:sp macro="" textlink="">
          <xdr:nvSpPr>
            <xdr:cNvPr id="8233" name="Option Button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75</xdr:row>
          <xdr:rowOff>38100</xdr:rowOff>
        </xdr:from>
        <xdr:to>
          <xdr:col>21</xdr:col>
          <xdr:colOff>104775</xdr:colOff>
          <xdr:row>76</xdr:row>
          <xdr:rowOff>9525</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75</xdr:row>
          <xdr:rowOff>19050</xdr:rowOff>
        </xdr:from>
        <xdr:to>
          <xdr:col>22</xdr:col>
          <xdr:colOff>0</xdr:colOff>
          <xdr:row>76</xdr:row>
          <xdr:rowOff>19050</xdr:rowOff>
        </xdr:to>
        <xdr:sp macro="" textlink="">
          <xdr:nvSpPr>
            <xdr:cNvPr id="8235" name="Group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76</xdr:row>
          <xdr:rowOff>38100</xdr:rowOff>
        </xdr:from>
        <xdr:to>
          <xdr:col>19</xdr:col>
          <xdr:colOff>66675</xdr:colOff>
          <xdr:row>77</xdr:row>
          <xdr:rowOff>76200</xdr:rowOff>
        </xdr:to>
        <xdr:sp macro="" textlink="">
          <xdr:nvSpPr>
            <xdr:cNvPr id="8236" name="Option Button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76</xdr:row>
          <xdr:rowOff>38100</xdr:rowOff>
        </xdr:from>
        <xdr:to>
          <xdr:col>21</xdr:col>
          <xdr:colOff>95250</xdr:colOff>
          <xdr:row>77</xdr:row>
          <xdr:rowOff>76200</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76</xdr:row>
          <xdr:rowOff>19050</xdr:rowOff>
        </xdr:from>
        <xdr:to>
          <xdr:col>22</xdr:col>
          <xdr:colOff>0</xdr:colOff>
          <xdr:row>78</xdr:row>
          <xdr:rowOff>9525</xdr:rowOff>
        </xdr:to>
        <xdr:sp macro="" textlink="">
          <xdr:nvSpPr>
            <xdr:cNvPr id="8238" name="Group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115</xdr:row>
          <xdr:rowOff>171450</xdr:rowOff>
        </xdr:from>
        <xdr:to>
          <xdr:col>1</xdr:col>
          <xdr:colOff>142875</xdr:colOff>
          <xdr:row>116</xdr:row>
          <xdr:rowOff>171450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116</xdr:row>
          <xdr:rowOff>161925</xdr:rowOff>
        </xdr:from>
        <xdr:to>
          <xdr:col>1</xdr:col>
          <xdr:colOff>142875</xdr:colOff>
          <xdr:row>117</xdr:row>
          <xdr:rowOff>171450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41</xdr:row>
          <xdr:rowOff>190500</xdr:rowOff>
        </xdr:from>
        <xdr:to>
          <xdr:col>12</xdr:col>
          <xdr:colOff>0</xdr:colOff>
          <xdr:row>43</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180975</xdr:rowOff>
        </xdr:from>
        <xdr:to>
          <xdr:col>12</xdr:col>
          <xdr:colOff>0</xdr:colOff>
          <xdr:row>44</xdr:row>
          <xdr:rowOff>19050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117</xdr:row>
          <xdr:rowOff>142875</xdr:rowOff>
        </xdr:from>
        <xdr:to>
          <xdr:col>1</xdr:col>
          <xdr:colOff>142875</xdr:colOff>
          <xdr:row>118</xdr:row>
          <xdr:rowOff>142875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76357</xdr:colOff>
      <xdr:row>67</xdr:row>
      <xdr:rowOff>71436</xdr:rowOff>
    </xdr:from>
    <xdr:to>
      <xdr:col>5</xdr:col>
      <xdr:colOff>142875</xdr:colOff>
      <xdr:row>70</xdr:row>
      <xdr:rowOff>209527</xdr:rowOff>
    </xdr:to>
    <xdr:pic>
      <xdr:nvPicPr>
        <xdr:cNvPr id="54" name="Image 53" descr="Logo Final">
          <a:extLst>
            <a:ext uri="{FF2B5EF4-FFF2-40B4-BE49-F238E27FC236}">
              <a16:creationId xmlns:a16="http://schemas.microsoft.com/office/drawing/2014/main" id="{00000000-0008-0000-03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097" y="13596936"/>
          <a:ext cx="889478" cy="80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171450</xdr:colOff>
          <xdr:row>29</xdr:row>
          <xdr:rowOff>161925</xdr:rowOff>
        </xdr:from>
        <xdr:to>
          <xdr:col>8</xdr:col>
          <xdr:colOff>19050</xdr:colOff>
          <xdr:row>35</xdr:row>
          <xdr:rowOff>19050</xdr:rowOff>
        </xdr:to>
        <xdr:sp macro="" textlink="">
          <xdr:nvSpPr>
            <xdr:cNvPr id="8275" name="Group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180975</xdr:rowOff>
        </xdr:from>
        <xdr:to>
          <xdr:col>8</xdr:col>
          <xdr:colOff>19050</xdr:colOff>
          <xdr:row>40</xdr:row>
          <xdr:rowOff>19050</xdr:rowOff>
        </xdr:to>
        <xdr:sp macro="" textlink="">
          <xdr:nvSpPr>
            <xdr:cNvPr id="8276" name="Group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2</xdr:row>
      <xdr:rowOff>57150</xdr:rowOff>
    </xdr:from>
    <xdr:to>
      <xdr:col>8</xdr:col>
      <xdr:colOff>171450</xdr:colOff>
      <xdr:row>20</xdr:row>
      <xdr:rowOff>180867</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23850" y="438150"/>
          <a:ext cx="5943600" cy="3552717"/>
        </a:xfrm>
        <a:prstGeom prst="rect">
          <a:avLst/>
        </a:prstGeom>
      </xdr:spPr>
    </xdr:pic>
    <xdr:clientData/>
  </xdr:twoCellAnchor>
  <xdr:twoCellAnchor editAs="oneCell">
    <xdr:from>
      <xdr:col>0</xdr:col>
      <xdr:colOff>395082</xdr:colOff>
      <xdr:row>21</xdr:row>
      <xdr:rowOff>112143</xdr:rowOff>
    </xdr:from>
    <xdr:to>
      <xdr:col>8</xdr:col>
      <xdr:colOff>255676</xdr:colOff>
      <xdr:row>32</xdr:row>
      <xdr:rowOff>25689</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95082" y="4112643"/>
          <a:ext cx="5956594" cy="2009046"/>
        </a:xfrm>
        <a:prstGeom prst="rect">
          <a:avLst/>
        </a:prstGeom>
      </xdr:spPr>
    </xdr:pic>
    <xdr:clientData/>
  </xdr:twoCellAnchor>
  <xdr:twoCellAnchor editAs="oneCell">
    <xdr:from>
      <xdr:col>8</xdr:col>
      <xdr:colOff>427384</xdr:colOff>
      <xdr:row>2</xdr:row>
      <xdr:rowOff>161837</xdr:rowOff>
    </xdr:from>
    <xdr:to>
      <xdr:col>16</xdr:col>
      <xdr:colOff>309631</xdr:colOff>
      <xdr:row>7</xdr:row>
      <xdr:rowOff>45983</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6523384" y="542837"/>
          <a:ext cx="5978247" cy="83664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omments" Target="../comments1.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hyperlink" Target="https://www.vs.ch/de/web/energie/home" TargetMode="External"/><Relationship Id="rId7" Type="http://schemas.openxmlformats.org/officeDocument/2006/relationships/ctrlProp" Target="../ctrlProps/ctrlProp56.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omments" Target="../comments2.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E65A-85E0-42DE-90A0-D75F404BDBFF}">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72" customWidth="1"/>
    <col min="2" max="2" width="11.42578125" style="72" customWidth="1"/>
    <col min="3" max="3" width="10.7109375" style="72" customWidth="1"/>
    <col min="4" max="4" width="5.140625" style="72" customWidth="1"/>
    <col min="5" max="5" width="5.140625" style="73" customWidth="1"/>
    <col min="6" max="6" width="3.28515625" style="73" customWidth="1"/>
    <col min="7" max="8" width="4.85546875" style="73" customWidth="1"/>
    <col min="9" max="19" width="11.42578125" style="73" customWidth="1"/>
    <col min="20" max="20" width="13.85546875" style="73" customWidth="1"/>
    <col min="21" max="24" width="0" style="72" hidden="1" customWidth="1"/>
    <col min="25" max="16384" width="11.42578125" style="72" hidden="1"/>
  </cols>
  <sheetData>
    <row r="1" spans="2:20" x14ac:dyDescent="0.35"/>
    <row r="2" spans="2:20" ht="18.75" customHeight="1" x14ac:dyDescent="0.3">
      <c r="E2" s="138" t="s">
        <v>175</v>
      </c>
      <c r="F2" s="138"/>
      <c r="G2" s="138"/>
      <c r="H2" s="138"/>
      <c r="I2" s="138"/>
      <c r="J2" s="138"/>
      <c r="K2" s="138"/>
      <c r="L2" s="138"/>
      <c r="M2" s="138"/>
      <c r="N2" s="138"/>
      <c r="O2" s="138"/>
      <c r="P2" s="138"/>
      <c r="Q2" s="138"/>
      <c r="R2" s="138"/>
      <c r="S2" s="138"/>
      <c r="T2" s="74"/>
    </row>
    <row r="3" spans="2:20" ht="18.75" customHeight="1" x14ac:dyDescent="0.3">
      <c r="E3" s="138"/>
      <c r="F3" s="138"/>
      <c r="G3" s="138"/>
      <c r="H3" s="138"/>
      <c r="I3" s="138"/>
      <c r="J3" s="138"/>
      <c r="K3" s="138"/>
      <c r="L3" s="138"/>
      <c r="M3" s="138"/>
      <c r="N3" s="138"/>
      <c r="O3" s="138"/>
      <c r="P3" s="138"/>
      <c r="Q3" s="138"/>
      <c r="R3" s="138"/>
      <c r="S3" s="138"/>
      <c r="T3" s="74"/>
    </row>
    <row r="4" spans="2:20" ht="18.75" customHeight="1" x14ac:dyDescent="0.3">
      <c r="E4" s="138"/>
      <c r="F4" s="138"/>
      <c r="G4" s="138"/>
      <c r="H4" s="138"/>
      <c r="I4" s="138"/>
      <c r="J4" s="138"/>
      <c r="K4" s="138"/>
      <c r="L4" s="138"/>
      <c r="M4" s="138"/>
      <c r="N4" s="138"/>
      <c r="O4" s="138"/>
      <c r="P4" s="138"/>
      <c r="Q4" s="138"/>
      <c r="R4" s="138"/>
      <c r="S4" s="138"/>
      <c r="T4" s="74"/>
    </row>
    <row r="5" spans="2:20" ht="21.75" thickBot="1" x14ac:dyDescent="0.4">
      <c r="B5" s="75"/>
      <c r="C5" s="75"/>
      <c r="D5" s="75"/>
      <c r="E5" s="76"/>
      <c r="F5" s="76"/>
      <c r="G5" s="76"/>
      <c r="H5" s="76"/>
      <c r="I5" s="76"/>
      <c r="J5" s="76"/>
      <c r="K5" s="76"/>
      <c r="L5" s="76"/>
      <c r="M5" s="76"/>
      <c r="N5" s="76"/>
      <c r="O5" s="76"/>
      <c r="P5" s="93" t="s">
        <v>362</v>
      </c>
      <c r="Q5" s="139" t="s">
        <v>363</v>
      </c>
      <c r="R5" s="139"/>
      <c r="S5" s="139"/>
    </row>
    <row r="6" spans="2:20" x14ac:dyDescent="0.35"/>
    <row r="7" spans="2:20" x14ac:dyDescent="0.35">
      <c r="B7" s="140" t="s">
        <v>176</v>
      </c>
      <c r="C7" s="141"/>
      <c r="E7" s="77" t="s">
        <v>177</v>
      </c>
    </row>
    <row r="8" spans="2:20" x14ac:dyDescent="0.35">
      <c r="B8" s="142"/>
      <c r="C8" s="143"/>
      <c r="E8" s="78" t="s">
        <v>178</v>
      </c>
    </row>
    <row r="9" spans="2:20" ht="6" customHeight="1" x14ac:dyDescent="0.35">
      <c r="B9" s="142"/>
      <c r="C9" s="143"/>
      <c r="E9" s="78"/>
    </row>
    <row r="10" spans="2:20" ht="18.75" customHeight="1" x14ac:dyDescent="0.35">
      <c r="B10" s="142"/>
      <c r="C10" s="143"/>
      <c r="E10" s="79" t="s">
        <v>179</v>
      </c>
      <c r="F10" s="109" t="s">
        <v>180</v>
      </c>
      <c r="G10" s="109"/>
      <c r="H10" s="109"/>
      <c r="I10" s="109"/>
      <c r="J10" s="109"/>
      <c r="K10" s="109"/>
      <c r="L10" s="109"/>
      <c r="M10" s="109"/>
      <c r="N10" s="109"/>
      <c r="O10" s="109"/>
      <c r="P10" s="109"/>
      <c r="Q10" s="109"/>
      <c r="R10" s="109"/>
      <c r="S10" s="109"/>
      <c r="T10" s="80"/>
    </row>
    <row r="11" spans="2:20" ht="18.75" customHeight="1" x14ac:dyDescent="0.35">
      <c r="B11" s="142"/>
      <c r="C11" s="143"/>
      <c r="E11" s="79"/>
      <c r="F11" s="109"/>
      <c r="G11" s="109"/>
      <c r="H11" s="109"/>
      <c r="I11" s="109"/>
      <c r="J11" s="109"/>
      <c r="K11" s="109"/>
      <c r="L11" s="109"/>
      <c r="M11" s="109"/>
      <c r="N11" s="109"/>
      <c r="O11" s="109"/>
      <c r="P11" s="109"/>
      <c r="Q11" s="109"/>
      <c r="R11" s="109"/>
      <c r="S11" s="109"/>
      <c r="T11" s="80"/>
    </row>
    <row r="12" spans="2:20" ht="18.75" customHeight="1" x14ac:dyDescent="0.35">
      <c r="B12" s="142"/>
      <c r="C12" s="143"/>
      <c r="E12" s="79"/>
      <c r="F12" s="109"/>
      <c r="G12" s="109"/>
      <c r="H12" s="109"/>
      <c r="I12" s="109"/>
      <c r="J12" s="109"/>
      <c r="K12" s="109"/>
      <c r="L12" s="109"/>
      <c r="M12" s="109"/>
      <c r="N12" s="109"/>
      <c r="O12" s="109"/>
      <c r="P12" s="109"/>
      <c r="Q12" s="109"/>
      <c r="R12" s="109"/>
      <c r="S12" s="109"/>
      <c r="T12" s="80"/>
    </row>
    <row r="13" spans="2:20" x14ac:dyDescent="0.3">
      <c r="B13" s="142"/>
      <c r="C13" s="143"/>
      <c r="E13" s="81"/>
      <c r="F13" s="109"/>
      <c r="G13" s="109"/>
      <c r="H13" s="109"/>
      <c r="I13" s="109"/>
      <c r="J13" s="109"/>
      <c r="K13" s="109"/>
      <c r="L13" s="109"/>
      <c r="M13" s="109"/>
      <c r="N13" s="109"/>
      <c r="O13" s="109"/>
      <c r="P13" s="109"/>
      <c r="Q13" s="109"/>
      <c r="R13" s="109"/>
      <c r="S13" s="109"/>
      <c r="T13" s="80"/>
    </row>
    <row r="14" spans="2:20" ht="5.25" customHeight="1" x14ac:dyDescent="0.3">
      <c r="B14" s="142"/>
      <c r="C14" s="143"/>
      <c r="E14" s="81"/>
      <c r="F14" s="82"/>
      <c r="G14" s="82"/>
      <c r="H14" s="82"/>
      <c r="I14" s="82"/>
      <c r="J14" s="82"/>
      <c r="K14" s="82"/>
      <c r="L14" s="82"/>
      <c r="M14" s="82"/>
      <c r="N14" s="82"/>
      <c r="O14" s="82"/>
      <c r="P14" s="82"/>
      <c r="Q14" s="82"/>
      <c r="R14" s="82"/>
      <c r="S14" s="82"/>
      <c r="T14" s="82"/>
    </row>
    <row r="15" spans="2:20" ht="18.75" customHeight="1" x14ac:dyDescent="0.35">
      <c r="B15" s="142"/>
      <c r="C15" s="143"/>
      <c r="E15" s="79" t="s">
        <v>181</v>
      </c>
      <c r="F15" s="109" t="s">
        <v>182</v>
      </c>
      <c r="G15" s="109"/>
      <c r="H15" s="109"/>
      <c r="I15" s="109"/>
      <c r="J15" s="109"/>
      <c r="K15" s="109"/>
      <c r="L15" s="109"/>
      <c r="M15" s="109"/>
      <c r="N15" s="109"/>
      <c r="O15" s="109"/>
      <c r="P15" s="109"/>
      <c r="Q15" s="109"/>
      <c r="R15" s="109"/>
      <c r="S15" s="109"/>
      <c r="T15" s="80"/>
    </row>
    <row r="16" spans="2:20" ht="18.75" customHeight="1" x14ac:dyDescent="0.35">
      <c r="B16" s="142"/>
      <c r="C16" s="143"/>
      <c r="E16" s="79"/>
      <c r="F16" s="109"/>
      <c r="G16" s="109"/>
      <c r="H16" s="109"/>
      <c r="I16" s="109"/>
      <c r="J16" s="109"/>
      <c r="K16" s="109"/>
      <c r="L16" s="109"/>
      <c r="M16" s="109"/>
      <c r="N16" s="109"/>
      <c r="O16" s="109"/>
      <c r="P16" s="109"/>
      <c r="Q16" s="109"/>
      <c r="R16" s="109"/>
      <c r="S16" s="109"/>
      <c r="T16" s="80"/>
    </row>
    <row r="17" spans="2:20" x14ac:dyDescent="0.3">
      <c r="B17" s="144"/>
      <c r="C17" s="145"/>
      <c r="E17" s="81"/>
      <c r="F17" s="109"/>
      <c r="G17" s="109"/>
      <c r="H17" s="109"/>
      <c r="I17" s="109"/>
      <c r="J17" s="109"/>
      <c r="K17" s="109"/>
      <c r="L17" s="109"/>
      <c r="M17" s="109"/>
      <c r="N17" s="109"/>
      <c r="O17" s="109"/>
      <c r="P17" s="109"/>
      <c r="Q17" s="109"/>
      <c r="R17" s="109"/>
      <c r="S17" s="109"/>
      <c r="T17" s="80"/>
    </row>
    <row r="18" spans="2:20" x14ac:dyDescent="0.35"/>
    <row r="19" spans="2:20" x14ac:dyDescent="0.35">
      <c r="B19" s="116"/>
      <c r="C19" s="117"/>
      <c r="E19" s="77" t="s">
        <v>183</v>
      </c>
    </row>
    <row r="20" spans="2:20" x14ac:dyDescent="0.35">
      <c r="B20" s="118"/>
      <c r="C20" s="119"/>
      <c r="E20" s="78" t="s">
        <v>178</v>
      </c>
    </row>
    <row r="21" spans="2:20" ht="4.5" customHeight="1" x14ac:dyDescent="0.35">
      <c r="B21" s="118"/>
      <c r="C21" s="119"/>
      <c r="E21" s="78"/>
    </row>
    <row r="22" spans="2:20" ht="18.75" customHeight="1" x14ac:dyDescent="0.35">
      <c r="B22" s="118"/>
      <c r="C22" s="119"/>
      <c r="F22" s="109" t="s">
        <v>184</v>
      </c>
      <c r="G22" s="109"/>
      <c r="H22" s="109"/>
      <c r="I22" s="109"/>
      <c r="J22" s="109"/>
      <c r="K22" s="109"/>
      <c r="L22" s="109"/>
      <c r="M22" s="109"/>
      <c r="N22" s="109"/>
      <c r="O22" s="109"/>
      <c r="P22" s="109"/>
      <c r="Q22" s="109"/>
      <c r="R22" s="109"/>
      <c r="S22" s="109"/>
      <c r="T22" s="80"/>
    </row>
    <row r="23" spans="2:20" x14ac:dyDescent="0.3">
      <c r="B23" s="118"/>
      <c r="C23" s="119"/>
      <c r="E23" s="80"/>
      <c r="F23" s="109"/>
      <c r="G23" s="109"/>
      <c r="H23" s="109"/>
      <c r="I23" s="109"/>
      <c r="J23" s="109"/>
      <c r="K23" s="109"/>
      <c r="L23" s="109"/>
      <c r="M23" s="109"/>
      <c r="N23" s="109"/>
      <c r="O23" s="109"/>
      <c r="P23" s="109"/>
      <c r="Q23" s="109"/>
      <c r="R23" s="109"/>
      <c r="S23" s="109"/>
      <c r="T23" s="80"/>
    </row>
    <row r="24" spans="2:20" x14ac:dyDescent="0.3">
      <c r="B24" s="118"/>
      <c r="C24" s="119"/>
      <c r="E24" s="80"/>
      <c r="F24" s="109"/>
      <c r="G24" s="109"/>
      <c r="H24" s="109"/>
      <c r="I24" s="109"/>
      <c r="J24" s="109"/>
      <c r="K24" s="109"/>
      <c r="L24" s="109"/>
      <c r="M24" s="109"/>
      <c r="N24" s="109"/>
      <c r="O24" s="109"/>
      <c r="P24" s="109"/>
      <c r="Q24" s="109"/>
      <c r="R24" s="109"/>
      <c r="S24" s="109"/>
      <c r="T24" s="80"/>
    </row>
    <row r="25" spans="2:20" x14ac:dyDescent="0.3">
      <c r="B25" s="118"/>
      <c r="C25" s="119"/>
      <c r="E25" s="80"/>
      <c r="F25" s="109"/>
      <c r="G25" s="109"/>
      <c r="H25" s="109"/>
      <c r="I25" s="109"/>
      <c r="J25" s="109"/>
      <c r="K25" s="109"/>
      <c r="L25" s="109"/>
      <c r="M25" s="109"/>
      <c r="N25" s="109"/>
      <c r="O25" s="109"/>
      <c r="P25" s="109"/>
      <c r="Q25" s="109"/>
      <c r="R25" s="109"/>
      <c r="S25" s="109"/>
      <c r="T25" s="80"/>
    </row>
    <row r="26" spans="2:20" x14ac:dyDescent="0.3">
      <c r="B26" s="118"/>
      <c r="C26" s="119"/>
      <c r="E26" s="80"/>
      <c r="F26" s="109"/>
      <c r="G26" s="109"/>
      <c r="H26" s="109"/>
      <c r="I26" s="109"/>
      <c r="J26" s="109"/>
      <c r="K26" s="109"/>
      <c r="L26" s="109"/>
      <c r="M26" s="109"/>
      <c r="N26" s="109"/>
      <c r="O26" s="109"/>
      <c r="P26" s="109"/>
      <c r="Q26" s="109"/>
      <c r="R26" s="109"/>
      <c r="S26" s="109"/>
      <c r="T26" s="80"/>
    </row>
    <row r="27" spans="2:20" x14ac:dyDescent="0.3">
      <c r="B27" s="118"/>
      <c r="C27" s="119"/>
      <c r="E27" s="80"/>
      <c r="F27" s="109"/>
      <c r="G27" s="109"/>
      <c r="H27" s="109"/>
      <c r="I27" s="109"/>
      <c r="J27" s="109"/>
      <c r="K27" s="109"/>
      <c r="L27" s="109"/>
      <c r="M27" s="109"/>
      <c r="N27" s="109"/>
      <c r="O27" s="109"/>
      <c r="P27" s="109"/>
      <c r="Q27" s="109"/>
      <c r="R27" s="109"/>
      <c r="S27" s="109"/>
      <c r="T27" s="80"/>
    </row>
    <row r="28" spans="2:20" x14ac:dyDescent="0.3">
      <c r="B28" s="118"/>
      <c r="C28" s="119"/>
      <c r="E28" s="80"/>
      <c r="F28" s="109"/>
      <c r="G28" s="109"/>
      <c r="H28" s="109"/>
      <c r="I28" s="109"/>
      <c r="J28" s="109"/>
      <c r="K28" s="109"/>
      <c r="L28" s="109"/>
      <c r="M28" s="109"/>
      <c r="N28" s="109"/>
      <c r="O28" s="109"/>
      <c r="P28" s="109"/>
      <c r="Q28" s="109"/>
      <c r="R28" s="109"/>
      <c r="S28" s="109"/>
      <c r="T28" s="80"/>
    </row>
    <row r="29" spans="2:20" x14ac:dyDescent="0.3">
      <c r="B29" s="120"/>
      <c r="C29" s="121"/>
      <c r="E29" s="80"/>
      <c r="F29" s="109"/>
      <c r="G29" s="109"/>
      <c r="H29" s="109"/>
      <c r="I29" s="109"/>
      <c r="J29" s="109"/>
      <c r="K29" s="109"/>
      <c r="L29" s="109"/>
      <c r="M29" s="109"/>
      <c r="N29" s="109"/>
      <c r="O29" s="109"/>
      <c r="P29" s="109"/>
      <c r="Q29" s="109"/>
      <c r="R29" s="109"/>
      <c r="S29" s="109"/>
      <c r="T29" s="80"/>
    </row>
    <row r="30" spans="2:20" x14ac:dyDescent="0.3">
      <c r="E30" s="82"/>
      <c r="F30" s="82"/>
      <c r="G30" s="82"/>
      <c r="H30" s="82"/>
      <c r="I30" s="82"/>
      <c r="J30" s="82"/>
      <c r="K30" s="82"/>
      <c r="L30" s="82"/>
      <c r="M30" s="82"/>
      <c r="N30" s="82"/>
      <c r="O30" s="82"/>
      <c r="P30" s="82"/>
      <c r="Q30" s="82"/>
      <c r="R30" s="82"/>
      <c r="S30" s="82"/>
      <c r="T30" s="82"/>
    </row>
    <row r="31" spans="2:20" x14ac:dyDescent="0.35">
      <c r="B31" s="116"/>
      <c r="C31" s="117"/>
      <c r="E31" s="77" t="s">
        <v>185</v>
      </c>
    </row>
    <row r="32" spans="2:20" ht="5.25" customHeight="1" x14ac:dyDescent="0.35">
      <c r="B32" s="118"/>
      <c r="C32" s="119"/>
      <c r="E32" s="77"/>
    </row>
    <row r="33" spans="2:20" x14ac:dyDescent="0.35">
      <c r="B33" s="118"/>
      <c r="C33" s="119"/>
      <c r="E33" s="79" t="s">
        <v>179</v>
      </c>
      <c r="F33" s="73" t="s">
        <v>364</v>
      </c>
    </row>
    <row r="34" spans="2:20" ht="5.25" customHeight="1" x14ac:dyDescent="0.35">
      <c r="B34" s="118"/>
      <c r="C34" s="119"/>
      <c r="E34" s="79"/>
    </row>
    <row r="35" spans="2:20" x14ac:dyDescent="0.35">
      <c r="B35" s="118"/>
      <c r="C35" s="119"/>
      <c r="E35" s="79" t="s">
        <v>181</v>
      </c>
      <c r="F35" s="73" t="s">
        <v>365</v>
      </c>
    </row>
    <row r="36" spans="2:20" ht="6" customHeight="1" x14ac:dyDescent="0.35">
      <c r="B36" s="118"/>
      <c r="C36" s="119"/>
      <c r="E36" s="79"/>
    </row>
    <row r="37" spans="2:20" ht="21" customHeight="1" x14ac:dyDescent="0.35">
      <c r="B37" s="118"/>
      <c r="C37" s="119"/>
      <c r="E37" s="79" t="s">
        <v>186</v>
      </c>
      <c r="F37" s="109" t="s">
        <v>187</v>
      </c>
      <c r="G37" s="109"/>
      <c r="H37" s="109"/>
      <c r="I37" s="109"/>
      <c r="J37" s="109"/>
      <c r="K37" s="109"/>
      <c r="L37" s="109"/>
      <c r="M37" s="109"/>
      <c r="N37" s="109"/>
      <c r="O37" s="109"/>
      <c r="P37" s="109"/>
      <c r="Q37" s="109"/>
      <c r="R37" s="109"/>
      <c r="S37" s="109"/>
      <c r="T37" s="80"/>
    </row>
    <row r="38" spans="2:20" x14ac:dyDescent="0.35">
      <c r="B38" s="120"/>
      <c r="C38" s="121"/>
      <c r="E38" s="83"/>
      <c r="F38" s="109"/>
      <c r="G38" s="109"/>
      <c r="H38" s="109"/>
      <c r="I38" s="109"/>
      <c r="J38" s="109"/>
      <c r="K38" s="109"/>
      <c r="L38" s="109"/>
      <c r="M38" s="109"/>
      <c r="N38" s="109"/>
      <c r="O38" s="109"/>
      <c r="P38" s="109"/>
      <c r="Q38" s="109"/>
      <c r="R38" s="109"/>
      <c r="S38" s="109"/>
      <c r="T38" s="80"/>
    </row>
    <row r="39" spans="2:20" x14ac:dyDescent="0.35">
      <c r="F39" s="109"/>
      <c r="G39" s="109"/>
      <c r="H39" s="109"/>
      <c r="I39" s="109"/>
      <c r="J39" s="109"/>
      <c r="K39" s="109"/>
      <c r="L39" s="109"/>
      <c r="M39" s="109"/>
      <c r="N39" s="109"/>
      <c r="O39" s="109"/>
      <c r="P39" s="109"/>
      <c r="Q39" s="109"/>
      <c r="R39" s="109"/>
      <c r="S39" s="109"/>
    </row>
    <row r="40" spans="2:20" x14ac:dyDescent="0.35">
      <c r="B40" s="116"/>
      <c r="C40" s="117"/>
      <c r="E40" s="77" t="s">
        <v>188</v>
      </c>
      <c r="F40" s="77"/>
    </row>
    <row r="41" spans="2:20" x14ac:dyDescent="0.35">
      <c r="B41" s="118"/>
      <c r="C41" s="119"/>
    </row>
    <row r="42" spans="2:20" x14ac:dyDescent="0.35">
      <c r="B42" s="118"/>
      <c r="C42" s="119"/>
      <c r="E42" s="122"/>
      <c r="F42" s="123"/>
      <c r="G42" s="124"/>
      <c r="I42" s="73" t="s">
        <v>189</v>
      </c>
    </row>
    <row r="43" spans="2:20" x14ac:dyDescent="0.35">
      <c r="B43" s="118"/>
      <c r="C43" s="119"/>
    </row>
    <row r="44" spans="2:20" x14ac:dyDescent="0.35">
      <c r="B44" s="118"/>
      <c r="C44" s="119"/>
      <c r="G44" s="84"/>
      <c r="I44" s="73" t="s">
        <v>190</v>
      </c>
    </row>
    <row r="45" spans="2:20" x14ac:dyDescent="0.35">
      <c r="B45" s="118"/>
      <c r="C45" s="119"/>
    </row>
    <row r="46" spans="2:20" x14ac:dyDescent="0.35">
      <c r="B46" s="118"/>
      <c r="C46" s="119"/>
      <c r="G46" s="84"/>
      <c r="I46" s="73" t="s">
        <v>191</v>
      </c>
    </row>
    <row r="47" spans="2:20" x14ac:dyDescent="0.35">
      <c r="B47" s="118"/>
      <c r="C47" s="119"/>
    </row>
    <row r="48" spans="2:20" x14ac:dyDescent="0.35">
      <c r="B48" s="118"/>
      <c r="C48" s="119"/>
      <c r="E48" s="84"/>
      <c r="F48" s="85" t="s">
        <v>192</v>
      </c>
      <c r="I48" s="109" t="s">
        <v>193</v>
      </c>
      <c r="J48" s="109"/>
      <c r="K48" s="109"/>
      <c r="L48" s="109"/>
      <c r="M48" s="109"/>
      <c r="N48" s="109"/>
      <c r="O48" s="109"/>
      <c r="P48" s="109"/>
      <c r="Q48" s="109"/>
      <c r="R48" s="109"/>
      <c r="S48" s="109"/>
    </row>
    <row r="49" spans="2:19" x14ac:dyDescent="0.35">
      <c r="B49" s="118"/>
      <c r="C49" s="119"/>
      <c r="F49" s="85"/>
      <c r="I49" s="109"/>
      <c r="J49" s="109"/>
      <c r="K49" s="109"/>
      <c r="L49" s="109"/>
      <c r="M49" s="109"/>
      <c r="N49" s="109"/>
      <c r="O49" s="109"/>
      <c r="P49" s="109"/>
      <c r="Q49" s="109"/>
      <c r="R49" s="109"/>
      <c r="S49" s="109"/>
    </row>
    <row r="50" spans="2:19" x14ac:dyDescent="0.35">
      <c r="B50" s="118"/>
      <c r="C50" s="119"/>
    </row>
    <row r="51" spans="2:19" x14ac:dyDescent="0.35">
      <c r="B51" s="118"/>
      <c r="C51" s="119"/>
      <c r="E51" s="125"/>
      <c r="F51" s="126"/>
      <c r="G51" s="127"/>
      <c r="I51" s="73" t="s">
        <v>194</v>
      </c>
    </row>
    <row r="52" spans="2:19" x14ac:dyDescent="0.35">
      <c r="B52" s="118"/>
      <c r="C52" s="119"/>
    </row>
    <row r="53" spans="2:19" ht="21" customHeight="1" x14ac:dyDescent="0.35">
      <c r="B53" s="118"/>
      <c r="C53" s="119"/>
      <c r="F53" s="128"/>
      <c r="G53" s="129"/>
      <c r="I53" s="109" t="s">
        <v>195</v>
      </c>
      <c r="J53" s="109"/>
      <c r="K53" s="109"/>
      <c r="L53" s="109"/>
      <c r="M53" s="109"/>
      <c r="N53" s="109"/>
      <c r="O53" s="109"/>
      <c r="P53" s="109"/>
      <c r="Q53" s="109"/>
      <c r="R53" s="109"/>
      <c r="S53" s="109"/>
    </row>
    <row r="54" spans="2:19" x14ac:dyDescent="0.35">
      <c r="B54" s="118"/>
      <c r="C54" s="119"/>
      <c r="F54" s="130"/>
      <c r="G54" s="131"/>
      <c r="I54" s="109"/>
      <c r="J54" s="109"/>
      <c r="K54" s="109"/>
      <c r="L54" s="109"/>
      <c r="M54" s="109"/>
      <c r="N54" s="109"/>
      <c r="O54" s="109"/>
      <c r="P54" s="109"/>
      <c r="Q54" s="109"/>
      <c r="R54" s="109"/>
      <c r="S54" s="109"/>
    </row>
    <row r="55" spans="2:19" x14ac:dyDescent="0.35">
      <c r="B55" s="118"/>
      <c r="C55" s="119"/>
      <c r="F55" s="86"/>
      <c r="G55" s="86"/>
      <c r="I55" s="109"/>
      <c r="J55" s="109"/>
      <c r="K55" s="109"/>
      <c r="L55" s="109"/>
      <c r="M55" s="109"/>
      <c r="N55" s="109"/>
      <c r="O55" s="109"/>
      <c r="P55" s="109"/>
      <c r="Q55" s="109"/>
      <c r="R55" s="109"/>
      <c r="S55" s="109"/>
    </row>
    <row r="56" spans="2:19" x14ac:dyDescent="0.35">
      <c r="B56" s="118"/>
      <c r="C56" s="119"/>
    </row>
    <row r="57" spans="2:19" ht="21" customHeight="1" x14ac:dyDescent="0.35">
      <c r="B57" s="118"/>
      <c r="C57" s="119"/>
      <c r="E57" s="132" t="s">
        <v>196</v>
      </c>
      <c r="F57" s="133"/>
      <c r="G57" s="134"/>
      <c r="I57" s="109" t="s">
        <v>197</v>
      </c>
      <c r="J57" s="109"/>
      <c r="K57" s="109"/>
      <c r="L57" s="109"/>
      <c r="M57" s="109"/>
      <c r="N57" s="109"/>
      <c r="O57" s="109"/>
      <c r="P57" s="109"/>
      <c r="Q57" s="109"/>
      <c r="R57" s="109"/>
      <c r="S57" s="109"/>
    </row>
    <row r="58" spans="2:19" x14ac:dyDescent="0.35">
      <c r="B58" s="118"/>
      <c r="C58" s="119"/>
      <c r="E58" s="135"/>
      <c r="F58" s="136"/>
      <c r="G58" s="137"/>
      <c r="I58" s="109"/>
      <c r="J58" s="109"/>
      <c r="K58" s="109"/>
      <c r="L58" s="109"/>
      <c r="M58" s="109"/>
      <c r="N58" s="109"/>
      <c r="O58" s="109"/>
      <c r="P58" s="109"/>
      <c r="Q58" s="109"/>
      <c r="R58" s="109"/>
      <c r="S58" s="109"/>
    </row>
    <row r="59" spans="2:19" x14ac:dyDescent="0.35">
      <c r="B59" s="118"/>
      <c r="C59" s="119"/>
      <c r="E59" s="77"/>
      <c r="F59" s="77"/>
      <c r="G59" s="77"/>
    </row>
    <row r="60" spans="2:19" ht="21" customHeight="1" x14ac:dyDescent="0.35">
      <c r="B60" s="118"/>
      <c r="C60" s="119"/>
      <c r="E60" s="103" t="s">
        <v>198</v>
      </c>
      <c r="F60" s="104"/>
      <c r="G60" s="105"/>
      <c r="I60" s="109" t="s">
        <v>199</v>
      </c>
      <c r="J60" s="109"/>
      <c r="K60" s="109"/>
      <c r="L60" s="109"/>
      <c r="M60" s="109"/>
      <c r="N60" s="109"/>
      <c r="O60" s="109"/>
      <c r="P60" s="109"/>
      <c r="Q60" s="109"/>
      <c r="R60" s="109"/>
      <c r="S60" s="109"/>
    </row>
    <row r="61" spans="2:19" x14ac:dyDescent="0.35">
      <c r="B61" s="118"/>
      <c r="C61" s="119"/>
      <c r="E61" s="106"/>
      <c r="F61" s="107"/>
      <c r="G61" s="108"/>
      <c r="I61" s="109"/>
      <c r="J61" s="109"/>
      <c r="K61" s="109"/>
      <c r="L61" s="109"/>
      <c r="M61" s="109"/>
      <c r="N61" s="109"/>
      <c r="O61" s="109"/>
      <c r="P61" s="109"/>
      <c r="Q61" s="109"/>
      <c r="R61" s="109"/>
      <c r="S61" s="109"/>
    </row>
    <row r="62" spans="2:19" x14ac:dyDescent="0.35">
      <c r="B62" s="118"/>
      <c r="C62" s="119"/>
      <c r="E62" s="77"/>
      <c r="F62" s="77"/>
      <c r="G62" s="77"/>
    </row>
    <row r="63" spans="2:19" x14ac:dyDescent="0.35">
      <c r="B63" s="118"/>
      <c r="C63" s="119"/>
      <c r="E63" s="110" t="s">
        <v>198</v>
      </c>
      <c r="F63" s="111"/>
      <c r="G63" s="112"/>
      <c r="I63" s="87" t="s">
        <v>200</v>
      </c>
    </row>
    <row r="64" spans="2:19" x14ac:dyDescent="0.35">
      <c r="B64" s="120"/>
      <c r="C64" s="121"/>
      <c r="E64" s="113"/>
      <c r="F64" s="114"/>
      <c r="G64" s="115"/>
      <c r="I64" s="87"/>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6CD56FE3-712F-400C-BC97-BAC101ED4D11}"/>
    <hyperlink ref="B7:C17" r:id="rId2" display="https://www.vs.ch/web/energie/exigences-énergétiques-pour-les-bâtiments" xr:uid="{CA294126-68CE-41FC-8966-BEEAEEACEE25}"/>
    <hyperlink ref="Q5" r:id="rId3" xr:uid="{F7A73174-9E40-4704-8989-C24F84E4F94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41"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10242"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10243"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CH411"/>
  <sheetViews>
    <sheetView topLeftCell="A95" zoomScale="115" zoomScaleNormal="115" workbookViewId="0">
      <selection activeCell="H122" sqref="H122:V123"/>
    </sheetView>
  </sheetViews>
  <sheetFormatPr baseColWidth="10" defaultColWidth="0" defaultRowHeight="12.75" zeroHeight="1" x14ac:dyDescent="0.25"/>
  <cols>
    <col min="1" max="7" width="3" style="9" customWidth="1"/>
    <col min="8" max="8" width="3.5703125" style="9" customWidth="1"/>
    <col min="9" max="10" width="3" style="9" customWidth="1"/>
    <col min="11" max="11" width="6.5703125" style="9" customWidth="1"/>
    <col min="12" max="19" width="3" style="9" customWidth="1"/>
    <col min="20" max="20" width="4.42578125" style="9" customWidth="1"/>
    <col min="21" max="23" width="3" style="9" customWidth="1"/>
    <col min="24" max="24" width="3.85546875" style="9" customWidth="1"/>
    <col min="25" max="25" width="4.7109375" style="9" customWidth="1"/>
    <col min="26" max="36" width="3" style="9" customWidth="1"/>
    <col min="37" max="37" width="4.28515625" style="9" customWidth="1"/>
    <col min="38" max="38" width="3" style="9" customWidth="1"/>
    <col min="39" max="39" width="3.42578125" style="33" hidden="1" customWidth="1"/>
    <col min="40" max="40" width="11.28515625" style="33" hidden="1" customWidth="1"/>
    <col min="41" max="42" width="3.42578125" style="33" hidden="1" customWidth="1"/>
    <col min="43" max="43" width="6.5703125" style="33" hidden="1" customWidth="1"/>
    <col min="44" max="44" width="7.140625" style="33" hidden="1" customWidth="1"/>
    <col min="45" max="45" width="4.5703125" style="33" hidden="1" customWidth="1"/>
    <col min="46" max="54" width="3.42578125" style="33" hidden="1" customWidth="1"/>
    <col min="55" max="55" width="34.85546875" style="33" hidden="1" customWidth="1"/>
    <col min="56" max="56" width="24.85546875" style="33" hidden="1" customWidth="1"/>
    <col min="57" max="57" width="6.140625" style="33" hidden="1" customWidth="1"/>
    <col min="58" max="58" width="4.7109375" style="33" hidden="1" customWidth="1"/>
    <col min="59" max="59" width="3.85546875" style="33" hidden="1" customWidth="1"/>
    <col min="60" max="61" width="11.85546875" style="33" hidden="1" customWidth="1"/>
    <col min="62" max="66" width="3.42578125" style="33" hidden="1" customWidth="1"/>
    <col min="67" max="68" width="5.7109375" style="33" hidden="1" customWidth="1"/>
    <col min="69" max="71" width="3.42578125" style="33" hidden="1" customWidth="1"/>
    <col min="72" max="72" width="5.85546875" style="33" hidden="1" customWidth="1"/>
    <col min="73" max="73" width="10.140625" style="33" hidden="1" customWidth="1"/>
    <col min="74" max="74" width="11.140625" style="33" hidden="1" customWidth="1"/>
    <col min="75" max="75" width="8" style="33" hidden="1" customWidth="1"/>
    <col min="76" max="77" width="7.7109375" style="33" hidden="1" customWidth="1"/>
    <col min="78" max="78" width="5.85546875" style="33" hidden="1" customWidth="1"/>
    <col min="79" max="79" width="7" style="33" hidden="1" customWidth="1"/>
    <col min="80" max="80" width="3.42578125" style="33" hidden="1" customWidth="1"/>
    <col min="81" max="82" width="5.85546875" style="57" hidden="1" customWidth="1"/>
    <col min="83" max="83" width="5.85546875" style="33" hidden="1" customWidth="1"/>
    <col min="84" max="84" width="4.5703125" style="33" hidden="1" customWidth="1"/>
    <col min="85" max="85" width="3.42578125" style="33" hidden="1" customWidth="1"/>
    <col min="86" max="86" width="5.85546875" style="33" hidden="1" customWidth="1"/>
    <col min="87" max="16384" width="3.42578125" style="33" hidden="1"/>
  </cols>
  <sheetData>
    <row r="1" spans="1:82" ht="21.9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82" ht="17.45" customHeight="1" x14ac:dyDescent="0.25">
      <c r="A2" s="4"/>
      <c r="B2" s="173"/>
      <c r="C2" s="174"/>
      <c r="D2" s="174"/>
      <c r="E2" s="174"/>
      <c r="F2" s="175"/>
      <c r="G2" s="182" t="s">
        <v>0</v>
      </c>
      <c r="H2" s="183"/>
      <c r="I2" s="183"/>
      <c r="J2" s="183"/>
      <c r="K2" s="183"/>
      <c r="L2" s="183"/>
      <c r="M2" s="183"/>
      <c r="N2" s="183"/>
      <c r="O2" s="184"/>
      <c r="P2" s="191" t="s">
        <v>1</v>
      </c>
      <c r="Q2" s="192"/>
      <c r="R2" s="192"/>
      <c r="S2" s="192"/>
      <c r="T2" s="192"/>
      <c r="U2" s="192"/>
      <c r="V2" s="192"/>
      <c r="W2" s="192"/>
      <c r="X2" s="193"/>
      <c r="Y2" s="200" t="s">
        <v>174</v>
      </c>
      <c r="Z2" s="201"/>
      <c r="AA2" s="201"/>
      <c r="AB2" s="201"/>
      <c r="AC2" s="201"/>
      <c r="AD2" s="201"/>
      <c r="AE2" s="201"/>
      <c r="AF2" s="201"/>
      <c r="AG2" s="201"/>
      <c r="AH2" s="201"/>
      <c r="AI2" s="201"/>
      <c r="AJ2" s="201"/>
      <c r="AK2" s="202"/>
      <c r="AL2" s="4"/>
      <c r="BH2" s="102" t="s">
        <v>2</v>
      </c>
      <c r="BI2" s="102" t="s">
        <v>3</v>
      </c>
      <c r="BU2" s="33" t="s">
        <v>125</v>
      </c>
    </row>
    <row r="3" spans="1:82" ht="17.45" customHeight="1" x14ac:dyDescent="0.25">
      <c r="A3" s="4"/>
      <c r="B3" s="176"/>
      <c r="C3" s="177"/>
      <c r="D3" s="177"/>
      <c r="E3" s="177"/>
      <c r="F3" s="178"/>
      <c r="G3" s="185"/>
      <c r="H3" s="186"/>
      <c r="I3" s="186"/>
      <c r="J3" s="186"/>
      <c r="K3" s="186"/>
      <c r="L3" s="186"/>
      <c r="M3" s="186"/>
      <c r="N3" s="186"/>
      <c r="O3" s="187"/>
      <c r="P3" s="194"/>
      <c r="Q3" s="195"/>
      <c r="R3" s="195"/>
      <c r="S3" s="195"/>
      <c r="T3" s="195"/>
      <c r="U3" s="195"/>
      <c r="V3" s="195"/>
      <c r="W3" s="195"/>
      <c r="X3" s="196"/>
      <c r="Y3" s="203"/>
      <c r="Z3" s="204"/>
      <c r="AA3" s="204"/>
      <c r="AB3" s="204"/>
      <c r="AC3" s="204"/>
      <c r="AD3" s="204"/>
      <c r="AE3" s="204"/>
      <c r="AF3" s="204"/>
      <c r="AG3" s="204"/>
      <c r="AH3" s="204"/>
      <c r="AI3" s="204"/>
      <c r="AJ3" s="204"/>
      <c r="AK3" s="205"/>
      <c r="AL3" s="4"/>
      <c r="BC3" s="43" t="str">
        <f>BD3&amp;BE3&amp;BF3&amp;BG3</f>
        <v>I = habitat collectiftpneufssa</v>
      </c>
      <c r="BD3" s="43" t="s">
        <v>4</v>
      </c>
      <c r="BE3" s="56" t="s">
        <v>5</v>
      </c>
      <c r="BF3" s="33" t="s">
        <v>6</v>
      </c>
      <c r="BG3" s="33" t="s">
        <v>7</v>
      </c>
      <c r="BH3" s="33">
        <v>0.17</v>
      </c>
      <c r="BI3" s="33">
        <v>0.25</v>
      </c>
    </row>
    <row r="4" spans="1:82" ht="17.45" customHeight="1" x14ac:dyDescent="0.25">
      <c r="A4" s="4"/>
      <c r="B4" s="176"/>
      <c r="C4" s="177"/>
      <c r="D4" s="177"/>
      <c r="E4" s="177"/>
      <c r="F4" s="178"/>
      <c r="G4" s="185"/>
      <c r="H4" s="186"/>
      <c r="I4" s="186"/>
      <c r="J4" s="186"/>
      <c r="K4" s="186"/>
      <c r="L4" s="186"/>
      <c r="M4" s="186"/>
      <c r="N4" s="186"/>
      <c r="O4" s="187"/>
      <c r="P4" s="194"/>
      <c r="Q4" s="195"/>
      <c r="R4" s="195"/>
      <c r="S4" s="195"/>
      <c r="T4" s="195"/>
      <c r="U4" s="195"/>
      <c r="V4" s="195"/>
      <c r="W4" s="195"/>
      <c r="X4" s="196"/>
      <c r="Y4" s="203"/>
      <c r="Z4" s="204"/>
      <c r="AA4" s="204"/>
      <c r="AB4" s="204"/>
      <c r="AC4" s="204"/>
      <c r="AD4" s="204"/>
      <c r="AE4" s="204"/>
      <c r="AF4" s="204"/>
      <c r="AG4" s="204"/>
      <c r="AH4" s="204"/>
      <c r="AI4" s="204"/>
      <c r="AJ4" s="204"/>
      <c r="AK4" s="205"/>
      <c r="AL4" s="4"/>
      <c r="BC4" s="43" t="str">
        <f>BD4&amp;BE4&amp;BF4&amp;BG4</f>
        <v>I = habitat collectifmneufssa</v>
      </c>
      <c r="BD4" s="43" t="s">
        <v>4</v>
      </c>
      <c r="BE4" s="56" t="s">
        <v>8</v>
      </c>
      <c r="BF4" s="33" t="s">
        <v>6</v>
      </c>
      <c r="BG4" s="33" t="s">
        <v>7</v>
      </c>
      <c r="BH4" s="33">
        <v>0.17</v>
      </c>
      <c r="BI4" s="33">
        <v>0.25</v>
      </c>
    </row>
    <row r="5" spans="1:82" ht="17.45" customHeight="1" x14ac:dyDescent="0.25">
      <c r="A5" s="4"/>
      <c r="B5" s="179"/>
      <c r="C5" s="180"/>
      <c r="D5" s="180"/>
      <c r="E5" s="180"/>
      <c r="F5" s="181"/>
      <c r="G5" s="188"/>
      <c r="H5" s="189"/>
      <c r="I5" s="189"/>
      <c r="J5" s="189"/>
      <c r="K5" s="189"/>
      <c r="L5" s="189"/>
      <c r="M5" s="189"/>
      <c r="N5" s="189"/>
      <c r="O5" s="190"/>
      <c r="P5" s="197"/>
      <c r="Q5" s="198"/>
      <c r="R5" s="198"/>
      <c r="S5" s="198"/>
      <c r="T5" s="198"/>
      <c r="U5" s="198"/>
      <c r="V5" s="198"/>
      <c r="W5" s="198"/>
      <c r="X5" s="199"/>
      <c r="Y5" s="206"/>
      <c r="Z5" s="207"/>
      <c r="AA5" s="207"/>
      <c r="AB5" s="207"/>
      <c r="AC5" s="207"/>
      <c r="AD5" s="207"/>
      <c r="AE5" s="207"/>
      <c r="AF5" s="207"/>
      <c r="AG5" s="207"/>
      <c r="AH5" s="207"/>
      <c r="AI5" s="207"/>
      <c r="AJ5" s="207"/>
      <c r="AK5" s="208"/>
      <c r="AL5" s="4"/>
      <c r="AQ5" s="33" t="s">
        <v>9</v>
      </c>
      <c r="AR5" s="33" t="s">
        <v>10</v>
      </c>
      <c r="BC5" s="43" t="str">
        <f>BD5&amp;BE5&amp;BF5&amp;BG5</f>
        <v>I = habitat collectifsneufssa</v>
      </c>
      <c r="BD5" s="43" t="s">
        <v>4</v>
      </c>
      <c r="BE5" s="56" t="s">
        <v>11</v>
      </c>
      <c r="BF5" s="33" t="s">
        <v>6</v>
      </c>
      <c r="BG5" s="33" t="s">
        <v>7</v>
      </c>
      <c r="BH5" s="33">
        <v>0.17</v>
      </c>
      <c r="BI5" s="33">
        <v>0.25</v>
      </c>
    </row>
    <row r="6" spans="1:82" ht="20.100000000000001" customHeight="1" x14ac:dyDescent="0.25">
      <c r="A6" s="4"/>
      <c r="B6" s="5"/>
      <c r="C6" s="5"/>
      <c r="D6" s="1"/>
      <c r="E6" s="1"/>
      <c r="F6" s="1"/>
      <c r="G6" s="1"/>
      <c r="H6" s="1"/>
      <c r="I6" s="1"/>
      <c r="J6" s="1"/>
      <c r="K6" s="1"/>
      <c r="L6" s="1"/>
      <c r="M6" s="1"/>
      <c r="N6" s="2"/>
      <c r="O6" s="2"/>
      <c r="P6" s="2"/>
      <c r="Q6" s="2"/>
      <c r="R6" s="2"/>
      <c r="S6" s="2"/>
      <c r="T6" s="2"/>
      <c r="U6" s="2"/>
      <c r="V6" s="3"/>
      <c r="W6" s="3"/>
      <c r="X6" s="3"/>
      <c r="Y6" s="3"/>
      <c r="Z6" s="3"/>
      <c r="AA6" s="3"/>
      <c r="AB6" s="3"/>
      <c r="AC6" s="3"/>
      <c r="AD6" s="3"/>
      <c r="AE6" s="3"/>
      <c r="AF6" s="3"/>
      <c r="AG6" s="3"/>
      <c r="AH6" s="3"/>
      <c r="AI6" s="3"/>
      <c r="AJ6" s="3"/>
      <c r="AK6" s="3"/>
      <c r="AL6" s="4"/>
      <c r="AQ6" s="33" t="b">
        <v>0</v>
      </c>
      <c r="AR6" s="33" t="b">
        <v>0</v>
      </c>
      <c r="BC6" s="43" t="str">
        <f t="shared" ref="BC6:BC108" si="0">BD6&amp;BE6&amp;BF6&amp;BG6</f>
        <v>I = habitat collectiffenneufssa</v>
      </c>
      <c r="BD6" s="43" t="s">
        <v>4</v>
      </c>
      <c r="BE6" s="56" t="s">
        <v>12</v>
      </c>
      <c r="BF6" s="33" t="s">
        <v>6</v>
      </c>
      <c r="BG6" s="33" t="s">
        <v>7</v>
      </c>
      <c r="BH6" s="33" t="s">
        <v>145</v>
      </c>
      <c r="BI6" s="33" t="s">
        <v>146</v>
      </c>
    </row>
    <row r="7" spans="1:82" ht="12" customHeight="1" x14ac:dyDescent="0.25">
      <c r="A7" s="4"/>
      <c r="B7" s="148" t="s">
        <v>13</v>
      </c>
      <c r="C7" s="148"/>
      <c r="D7" s="148"/>
      <c r="E7" s="286"/>
      <c r="F7" s="287"/>
      <c r="G7" s="288"/>
      <c r="H7" s="288"/>
      <c r="I7" s="288"/>
      <c r="J7" s="288"/>
      <c r="K7" s="288"/>
      <c r="L7" s="288"/>
      <c r="M7" s="288"/>
      <c r="N7" s="288"/>
      <c r="O7" s="288"/>
      <c r="P7" s="289"/>
      <c r="Q7" s="290" t="s">
        <v>105</v>
      </c>
      <c r="R7" s="291"/>
      <c r="S7" s="291"/>
      <c r="T7" s="292"/>
      <c r="U7" s="293"/>
      <c r="V7" s="294"/>
      <c r="W7" s="294"/>
      <c r="X7" s="294"/>
      <c r="Y7" s="294"/>
      <c r="Z7" s="295"/>
      <c r="AA7" s="4"/>
      <c r="AB7" s="291" t="s">
        <v>18</v>
      </c>
      <c r="AC7" s="291"/>
      <c r="AD7" s="291"/>
      <c r="AE7" s="292"/>
      <c r="AF7" s="293"/>
      <c r="AG7" s="294"/>
      <c r="AH7" s="294"/>
      <c r="AI7" s="294"/>
      <c r="AJ7" s="294"/>
      <c r="AK7" s="295"/>
      <c r="AL7" s="4"/>
      <c r="AR7" s="34" t="s">
        <v>14</v>
      </c>
      <c r="BC7" s="43" t="str">
        <f t="shared" si="0"/>
        <v>I = habitat collectifportesneufssa</v>
      </c>
      <c r="BD7" s="43" t="s">
        <v>4</v>
      </c>
      <c r="BE7" s="56" t="s">
        <v>15</v>
      </c>
      <c r="BF7" s="33" t="s">
        <v>6</v>
      </c>
      <c r="BG7" s="33" t="s">
        <v>7</v>
      </c>
      <c r="BH7" s="33">
        <v>1.2</v>
      </c>
      <c r="BI7" s="33">
        <v>1.5</v>
      </c>
    </row>
    <row r="8" spans="1:82" ht="6"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BC8" s="43" t="str">
        <f t="shared" si="0"/>
        <v>I = habitat collectifp343neufssa</v>
      </c>
      <c r="BD8" s="43" t="s">
        <v>4</v>
      </c>
      <c r="BE8" s="56" t="s">
        <v>16</v>
      </c>
      <c r="BF8" s="33" t="s">
        <v>6</v>
      </c>
      <c r="BG8" s="33" t="s">
        <v>7</v>
      </c>
      <c r="BH8" s="33">
        <v>1.7</v>
      </c>
      <c r="BI8" s="33">
        <v>2</v>
      </c>
    </row>
    <row r="9" spans="1:82" ht="12" customHeight="1" x14ac:dyDescent="0.25">
      <c r="A9" s="4"/>
      <c r="B9" s="148" t="s">
        <v>17</v>
      </c>
      <c r="C9" s="148"/>
      <c r="D9" s="148"/>
      <c r="E9" s="4"/>
      <c r="F9" s="287"/>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9"/>
      <c r="AL9" s="4"/>
      <c r="BC9" s="43" t="str">
        <f t="shared" si="0"/>
        <v>I = habitat collectifstoresneufssa</v>
      </c>
      <c r="BD9" s="43" t="s">
        <v>4</v>
      </c>
      <c r="BE9" s="56" t="s">
        <v>19</v>
      </c>
      <c r="BF9" s="33" t="s">
        <v>6</v>
      </c>
      <c r="BG9" s="33" t="s">
        <v>7</v>
      </c>
      <c r="BH9" s="33">
        <v>0.5</v>
      </c>
      <c r="BI9" s="33">
        <v>0.5</v>
      </c>
    </row>
    <row r="10" spans="1:82" ht="12" customHeight="1" thickBot="1" x14ac:dyDescent="0.3">
      <c r="A10" s="4"/>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7"/>
      <c r="AD10" s="7"/>
      <c r="AE10" s="7"/>
      <c r="AF10" s="6"/>
      <c r="AG10" s="6"/>
      <c r="AH10" s="6"/>
      <c r="AI10" s="6"/>
      <c r="AJ10" s="6"/>
      <c r="AK10" s="6"/>
      <c r="AL10" s="4"/>
      <c r="AQ10" s="33" t="s">
        <v>20</v>
      </c>
      <c r="AR10" s="33" t="s">
        <v>21</v>
      </c>
      <c r="BC10" s="43" t="str">
        <f t="shared" si="0"/>
        <v>I = habitat collectiftprénossg</v>
      </c>
      <c r="BD10" s="43" t="s">
        <v>4</v>
      </c>
      <c r="BE10" s="56" t="s">
        <v>5</v>
      </c>
      <c r="BF10" s="33" t="s">
        <v>24</v>
      </c>
      <c r="BG10" s="33" t="s">
        <v>25</v>
      </c>
      <c r="BH10" s="33">
        <v>0.25</v>
      </c>
      <c r="BI10" s="33">
        <v>0.28000000000000003</v>
      </c>
    </row>
    <row r="11" spans="1:82" ht="12"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10"/>
      <c r="AC11" s="10"/>
      <c r="AD11" s="10"/>
      <c r="AE11" s="10"/>
      <c r="AF11" s="4"/>
      <c r="AG11" s="4"/>
      <c r="AH11" s="4"/>
      <c r="AI11" s="4"/>
      <c r="AJ11" s="4"/>
      <c r="AK11" s="4"/>
      <c r="AL11" s="4"/>
      <c r="AQ11" s="33" t="b">
        <v>0</v>
      </c>
      <c r="AR11" s="33" t="b">
        <v>1</v>
      </c>
      <c r="BC11" s="43" t="str">
        <f>BD11&amp;BE11&amp;BF11&amp;BG11</f>
        <v>I = habitat collectifmrénossg</v>
      </c>
      <c r="BD11" s="43" t="s">
        <v>4</v>
      </c>
      <c r="BE11" s="56" t="s">
        <v>8</v>
      </c>
      <c r="BF11" s="33" t="s">
        <v>24</v>
      </c>
      <c r="BG11" s="33" t="s">
        <v>25</v>
      </c>
      <c r="BH11" s="33">
        <v>0.25</v>
      </c>
      <c r="BI11" s="33">
        <v>0.28000000000000003</v>
      </c>
    </row>
    <row r="12" spans="1:82" ht="17.45" customHeight="1" x14ac:dyDescent="0.25">
      <c r="A12" s="4"/>
      <c r="B12" s="30" t="s">
        <v>22</v>
      </c>
      <c r="C12" s="4"/>
      <c r="D12" s="4"/>
      <c r="E12" s="4"/>
      <c r="F12" s="4"/>
      <c r="G12" s="4"/>
      <c r="H12" s="4"/>
      <c r="I12" s="4"/>
      <c r="J12" s="4"/>
      <c r="K12" s="31"/>
      <c r="L12" s="31"/>
      <c r="M12" s="31"/>
      <c r="N12" s="31"/>
      <c r="O12" s="31"/>
      <c r="P12" s="31"/>
      <c r="Q12" s="31"/>
      <c r="R12" s="8"/>
      <c r="S12" s="35" t="str">
        <f>IF(AN12=1,"Fournir justification en annexe","")</f>
        <v/>
      </c>
      <c r="T12" s="4"/>
      <c r="U12" s="4"/>
      <c r="V12" s="4"/>
      <c r="W12" s="4"/>
      <c r="X12" s="4"/>
      <c r="Y12" s="4"/>
      <c r="Z12" s="4"/>
      <c r="AA12" s="4"/>
      <c r="AB12" s="4"/>
      <c r="AC12" s="4"/>
      <c r="AD12" s="32"/>
      <c r="AE12" s="32"/>
      <c r="AF12" s="32"/>
      <c r="AG12" s="32"/>
      <c r="AH12" s="32"/>
      <c r="AI12" s="4"/>
      <c r="AJ12" s="4"/>
      <c r="AK12" s="4"/>
      <c r="AL12" s="4"/>
      <c r="AN12" s="33">
        <v>0</v>
      </c>
      <c r="AQ12" s="33">
        <f>IF(AQ11=TRUE,1,0)</f>
        <v>0</v>
      </c>
      <c r="AR12" s="33">
        <f>IF(AR11=TRUE,1,0)</f>
        <v>1</v>
      </c>
      <c r="BC12" s="43"/>
      <c r="BD12" s="43"/>
      <c r="BE12" s="56"/>
    </row>
    <row r="13" spans="1:82" ht="12" customHeight="1" thickBot="1" x14ac:dyDescent="0.3">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4"/>
      <c r="AQ13" s="33" t="s">
        <v>6</v>
      </c>
      <c r="AR13" s="33" t="s">
        <v>24</v>
      </c>
      <c r="BC13" s="43" t="str">
        <f>BD13&amp;BE13&amp;BF13&amp;BG13</f>
        <v>I = habitat collectifsrénossg</v>
      </c>
      <c r="BD13" s="43" t="s">
        <v>4</v>
      </c>
      <c r="BE13" s="56" t="s">
        <v>11</v>
      </c>
      <c r="BF13" s="33" t="s">
        <v>24</v>
      </c>
      <c r="BG13" s="33" t="s">
        <v>25</v>
      </c>
      <c r="BH13" s="33">
        <v>0.25</v>
      </c>
      <c r="BI13" s="33">
        <v>0.28000000000000003</v>
      </c>
    </row>
    <row r="14" spans="1:82" ht="20.100000000000001" customHeight="1" x14ac:dyDescent="0.25">
      <c r="A14" s="4"/>
      <c r="B14" s="38" t="s">
        <v>26</v>
      </c>
      <c r="C14" s="38"/>
      <c r="D14" s="38"/>
      <c r="E14" s="38"/>
      <c r="F14" s="38"/>
      <c r="G14" s="38"/>
      <c r="H14" s="38"/>
      <c r="I14" s="38"/>
      <c r="J14" s="38"/>
      <c r="K14" s="38"/>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Q14" s="33" t="b">
        <f>IF(OR(AQ6,AR6),TRUE,FALSE)</f>
        <v>0</v>
      </c>
      <c r="AR14" s="33" t="b">
        <f>IF(OR(AQ11,AR11),TRUE,FALSE)</f>
        <v>1</v>
      </c>
      <c r="BC14" s="43" t="str">
        <f t="shared" si="0"/>
        <v>I = habitat collectiffenrénossg</v>
      </c>
      <c r="BD14" s="43" t="s">
        <v>4</v>
      </c>
      <c r="BE14" s="56" t="s">
        <v>12</v>
      </c>
      <c r="BF14" s="33" t="s">
        <v>24</v>
      </c>
      <c r="BG14" s="33" t="s">
        <v>25</v>
      </c>
      <c r="BH14" s="33" t="s">
        <v>145</v>
      </c>
      <c r="BI14" s="33" t="s">
        <v>146</v>
      </c>
      <c r="CC14" s="58"/>
      <c r="CD14" s="58"/>
    </row>
    <row r="15" spans="1:82" ht="20.100000000000001" customHeight="1" x14ac:dyDescent="0.25">
      <c r="A15" s="4"/>
      <c r="B15" s="21"/>
      <c r="C15" s="21"/>
      <c r="D15" s="21"/>
      <c r="E15" s="21"/>
      <c r="F15" s="21"/>
      <c r="G15" s="21"/>
      <c r="H15" s="21"/>
      <c r="I15" s="21"/>
      <c r="J15" s="21"/>
      <c r="K15" s="2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BC15" s="43" t="str">
        <f t="shared" si="0"/>
        <v>I = habitat collectifportesrénossg</v>
      </c>
      <c r="BD15" s="43" t="s">
        <v>4</v>
      </c>
      <c r="BE15" s="56" t="s">
        <v>15</v>
      </c>
      <c r="BF15" s="33" t="s">
        <v>24</v>
      </c>
      <c r="BG15" s="33" t="s">
        <v>25</v>
      </c>
      <c r="BH15" s="33">
        <v>1.2</v>
      </c>
      <c r="BI15" s="33">
        <v>1.5</v>
      </c>
      <c r="CC15" s="58"/>
      <c r="CD15" s="58"/>
    </row>
    <row r="16" spans="1:82" ht="20.100000000000001" customHeight="1" x14ac:dyDescent="0.25">
      <c r="A16" s="4"/>
      <c r="B16" s="4" t="s">
        <v>156</v>
      </c>
      <c r="C16" s="4"/>
      <c r="D16" s="4"/>
      <c r="E16" s="4"/>
      <c r="F16" s="4"/>
      <c r="H16" s="4"/>
      <c r="I16" s="4"/>
      <c r="K16" s="4"/>
      <c r="L16" s="4"/>
      <c r="M16" s="39" t="s">
        <v>115</v>
      </c>
      <c r="N16" s="39"/>
      <c r="O16" s="39"/>
      <c r="P16" s="39"/>
      <c r="Q16" s="39"/>
      <c r="R16" s="39"/>
      <c r="S16" s="39"/>
      <c r="T16" s="39"/>
      <c r="U16" s="39"/>
      <c r="V16" s="39"/>
      <c r="W16" s="39"/>
      <c r="X16" s="39"/>
      <c r="Y16" s="39" t="s">
        <v>27</v>
      </c>
      <c r="Z16" s="39"/>
      <c r="AA16" s="39"/>
      <c r="AB16" s="39"/>
      <c r="AC16" s="39"/>
      <c r="AD16" s="8"/>
      <c r="AE16" s="8"/>
      <c r="AF16" s="4"/>
      <c r="AG16" s="4"/>
      <c r="AH16" s="4"/>
      <c r="AI16" s="4"/>
      <c r="AJ16" s="4"/>
      <c r="AK16" s="4"/>
      <c r="AL16" s="4"/>
      <c r="BC16" s="43" t="str">
        <f t="shared" si="0"/>
        <v>I = habitat collectifp343rénossg</v>
      </c>
      <c r="BD16" s="43" t="s">
        <v>4</v>
      </c>
      <c r="BE16" s="56" t="s">
        <v>16</v>
      </c>
      <c r="BF16" s="33" t="s">
        <v>24</v>
      </c>
      <c r="BG16" s="33" t="s">
        <v>25</v>
      </c>
      <c r="BH16" s="33">
        <v>1.7</v>
      </c>
      <c r="BI16" s="33">
        <v>2</v>
      </c>
    </row>
    <row r="17" spans="1:61" ht="20.100000000000001" customHeight="1" x14ac:dyDescent="0.25">
      <c r="A17" s="4"/>
      <c r="B17" s="4"/>
      <c r="C17" s="4"/>
      <c r="D17" s="4"/>
      <c r="E17" s="4"/>
      <c r="F17" s="4"/>
      <c r="G17" s="4"/>
      <c r="H17" s="4"/>
      <c r="I17" s="4"/>
      <c r="J17" s="4"/>
      <c r="K17" s="4"/>
      <c r="L17" s="4"/>
      <c r="M17" s="39" t="s">
        <v>28</v>
      </c>
      <c r="N17" s="39"/>
      <c r="O17" s="39"/>
      <c r="P17" s="39"/>
      <c r="Q17" s="39"/>
      <c r="R17" s="39"/>
      <c r="S17" s="39"/>
      <c r="T17" s="39"/>
      <c r="U17" s="39"/>
      <c r="V17" s="39"/>
      <c r="W17" s="39"/>
      <c r="X17" s="39"/>
      <c r="Y17" s="39" t="s">
        <v>29</v>
      </c>
      <c r="Z17" s="39"/>
      <c r="AA17" s="39"/>
      <c r="AB17" s="39"/>
      <c r="AC17" s="39"/>
      <c r="AD17" s="8"/>
      <c r="AE17" s="8"/>
      <c r="AF17" s="4"/>
      <c r="AG17" s="4"/>
      <c r="AH17" s="4"/>
      <c r="AI17" s="4"/>
      <c r="AJ17" s="4"/>
      <c r="AK17" s="4"/>
      <c r="AL17" s="4"/>
      <c r="BC17" s="43" t="str">
        <f t="shared" si="0"/>
        <v>I = habitat collectifstoresrénossg</v>
      </c>
      <c r="BD17" s="43" t="s">
        <v>4</v>
      </c>
      <c r="BE17" s="56" t="s">
        <v>19</v>
      </c>
      <c r="BF17" s="33" t="s">
        <v>24</v>
      </c>
      <c r="BG17" s="33" t="s">
        <v>25</v>
      </c>
      <c r="BH17" s="33">
        <v>0.5</v>
      </c>
      <c r="BI17" s="33">
        <v>0.5</v>
      </c>
    </row>
    <row r="18" spans="1:61" ht="12" customHeight="1" x14ac:dyDescent="0.25">
      <c r="A18" s="4"/>
      <c r="B18" s="4"/>
      <c r="C18" s="4"/>
      <c r="D18" s="4"/>
      <c r="E18" s="4"/>
      <c r="F18" s="4"/>
      <c r="G18" s="4"/>
      <c r="H18" s="4"/>
      <c r="I18" s="4"/>
      <c r="J18" s="4"/>
      <c r="K18" s="4"/>
      <c r="L18" s="37" t="str">
        <f>IF(AND(AQ14=TRUE,AR14=TRUE),"Fournir un formulaire pour la partie existante et un autre pour la partie neuve","")</f>
        <v/>
      </c>
      <c r="M18" s="4"/>
      <c r="N18" s="4"/>
      <c r="O18" s="4"/>
      <c r="P18" s="4"/>
      <c r="Q18" s="4"/>
      <c r="R18" s="4"/>
      <c r="S18" s="4"/>
      <c r="T18" s="4"/>
      <c r="U18" s="4"/>
      <c r="V18" s="4"/>
      <c r="W18" s="4"/>
      <c r="X18" s="4"/>
      <c r="Y18" s="4"/>
      <c r="Z18" s="4"/>
      <c r="AA18" s="4"/>
      <c r="AB18" s="4"/>
      <c r="AC18" s="4"/>
      <c r="AD18" s="4"/>
      <c r="AE18" s="4"/>
      <c r="AF18" s="4"/>
      <c r="AG18" s="4"/>
      <c r="AH18" s="4"/>
      <c r="AI18" s="4"/>
      <c r="AJ18" s="4"/>
      <c r="AK18" s="4"/>
      <c r="AL18" s="4"/>
      <c r="BC18" s="43" t="str">
        <f t="shared" si="0"/>
        <v>I = habitat collectiftprénoz</v>
      </c>
      <c r="BD18" s="43" t="s">
        <v>4</v>
      </c>
      <c r="BE18" s="56" t="s">
        <v>5</v>
      </c>
      <c r="BF18" s="33" t="s">
        <v>24</v>
      </c>
      <c r="BG18" s="33" t="s">
        <v>381</v>
      </c>
      <c r="BH18" s="33">
        <v>0.25</v>
      </c>
      <c r="BI18" s="33">
        <v>0.28000000000000003</v>
      </c>
    </row>
    <row r="19" spans="1:61" ht="18" customHeight="1" x14ac:dyDescent="0.25">
      <c r="A19" s="4"/>
      <c r="B19" s="4" t="s">
        <v>167</v>
      </c>
      <c r="C19" s="69"/>
      <c r="D19" s="69"/>
      <c r="E19" s="297"/>
      <c r="F19" s="297"/>
      <c r="G19" s="297"/>
      <c r="H19" s="70" t="s">
        <v>168</v>
      </c>
      <c r="I19" s="69"/>
      <c r="J19" s="4" t="s">
        <v>169</v>
      </c>
      <c r="K19" s="4"/>
      <c r="L19" s="4"/>
      <c r="M19" s="4"/>
      <c r="N19" s="4"/>
      <c r="O19" s="297"/>
      <c r="P19" s="297"/>
      <c r="Q19" s="297"/>
      <c r="R19" s="298" t="s">
        <v>168</v>
      </c>
      <c r="S19" s="298"/>
      <c r="T19" s="4" t="s">
        <v>170</v>
      </c>
      <c r="U19" s="4"/>
      <c r="V19" s="299" t="str">
        <f>IF(O19=0,"-", IF(AN19&gt;20,"&gt;20","&lt;20"))</f>
        <v>-</v>
      </c>
      <c r="W19" s="299"/>
      <c r="X19" s="69" t="s">
        <v>171</v>
      </c>
      <c r="Y19" s="4"/>
      <c r="Z19" s="4"/>
      <c r="AA19" s="4"/>
      <c r="AB19" s="4"/>
      <c r="AC19" s="4"/>
      <c r="AD19" s="4"/>
      <c r="AE19" s="4"/>
      <c r="AF19" s="4"/>
      <c r="AG19" s="4"/>
      <c r="AH19" s="4"/>
      <c r="AI19" s="4"/>
      <c r="AJ19" s="4"/>
      <c r="AK19" s="4"/>
      <c r="AL19" s="4"/>
      <c r="AN19" s="33" t="e">
        <f>E19/O19*100</f>
        <v>#DIV/0!</v>
      </c>
      <c r="BC19" s="43" t="str">
        <f t="shared" si="0"/>
        <v>I = habitat collectifmrénoz</v>
      </c>
      <c r="BD19" s="43" t="s">
        <v>4</v>
      </c>
      <c r="BE19" s="56" t="s">
        <v>8</v>
      </c>
      <c r="BF19" s="33" t="s">
        <v>24</v>
      </c>
      <c r="BG19" s="33" t="s">
        <v>381</v>
      </c>
      <c r="BH19" s="33">
        <v>0.25</v>
      </c>
      <c r="BI19" s="33">
        <v>0.28000000000000003</v>
      </c>
    </row>
    <row r="20" spans="1:61" ht="16.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BC20" s="43" t="str">
        <f t="shared" si="0"/>
        <v>I = habitat collectifsrénoz</v>
      </c>
      <c r="BD20" s="43" t="s">
        <v>4</v>
      </c>
      <c r="BE20" s="56" t="s">
        <v>11</v>
      </c>
      <c r="BF20" s="33" t="s">
        <v>24</v>
      </c>
      <c r="BG20" s="33" t="s">
        <v>381</v>
      </c>
      <c r="BH20" s="33">
        <v>0.25</v>
      </c>
      <c r="BI20" s="33">
        <v>0.28000000000000003</v>
      </c>
    </row>
    <row r="21" spans="1:61" ht="16.5" customHeight="1" x14ac:dyDescent="0.25">
      <c r="A21" s="4"/>
      <c r="B21" s="4" t="s">
        <v>157</v>
      </c>
      <c r="C21" s="4"/>
      <c r="D21" s="4"/>
      <c r="E21" s="4"/>
      <c r="F21" s="4"/>
      <c r="G21" s="4"/>
      <c r="H21" s="4"/>
      <c r="I21" s="4"/>
      <c r="J21" s="4"/>
      <c r="K21" s="4"/>
      <c r="L21" s="36"/>
      <c r="M21" s="36" t="s">
        <v>30</v>
      </c>
      <c r="N21" s="36"/>
      <c r="O21" s="36"/>
      <c r="P21" s="36"/>
      <c r="Q21" s="36" t="s">
        <v>23</v>
      </c>
      <c r="R21" s="36"/>
      <c r="S21" s="4"/>
      <c r="T21" s="296" t="str">
        <f>IF(AN24=2,"Performance globale nécessaire, utiliser le formulaire EN-VS-102b","")</f>
        <v/>
      </c>
      <c r="U21" s="296"/>
      <c r="V21" s="296"/>
      <c r="W21" s="296"/>
      <c r="X21" s="296"/>
      <c r="Y21" s="296"/>
      <c r="Z21" s="296"/>
      <c r="AA21" s="296"/>
      <c r="AB21" s="296"/>
      <c r="AC21" s="296"/>
      <c r="AD21" s="296"/>
      <c r="AE21" s="296"/>
      <c r="AF21" s="296"/>
      <c r="AG21" s="296"/>
      <c r="AH21" s="296"/>
      <c r="AI21" s="296"/>
      <c r="AJ21" s="296"/>
      <c r="AK21" s="296"/>
      <c r="AL21" s="4"/>
      <c r="BC21" s="43" t="str">
        <f t="shared" si="0"/>
        <v>I = habitat collectiffenrénoz</v>
      </c>
      <c r="BD21" s="43" t="s">
        <v>4</v>
      </c>
      <c r="BE21" s="56" t="s">
        <v>12</v>
      </c>
      <c r="BF21" s="33" t="s">
        <v>24</v>
      </c>
      <c r="BG21" s="33" t="s">
        <v>381</v>
      </c>
      <c r="BH21" s="33">
        <v>1</v>
      </c>
      <c r="BI21" s="33">
        <v>1.3</v>
      </c>
    </row>
    <row r="22" spans="1:61" ht="20.100000000000001" customHeight="1" thickBot="1" x14ac:dyDescent="0.3">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4"/>
      <c r="BC22" s="43" t="str">
        <f t="shared" si="0"/>
        <v>I = habitat collectifportesrénoz</v>
      </c>
      <c r="BD22" s="43" t="s">
        <v>4</v>
      </c>
      <c r="BE22" s="56" t="s">
        <v>15</v>
      </c>
      <c r="BF22" s="33" t="s">
        <v>24</v>
      </c>
      <c r="BG22" s="33" t="s">
        <v>381</v>
      </c>
      <c r="BH22" s="33">
        <v>1.2</v>
      </c>
      <c r="BI22" s="33">
        <v>1.5</v>
      </c>
    </row>
    <row r="23" spans="1:61" ht="14.25" customHeight="1" x14ac:dyDescent="0.25">
      <c r="A23" s="4"/>
      <c r="B23" s="285" t="s">
        <v>32</v>
      </c>
      <c r="C23" s="285"/>
      <c r="D23" s="285"/>
      <c r="E23" s="285"/>
      <c r="F23" s="285"/>
      <c r="G23" s="285"/>
      <c r="H23" s="285"/>
      <c r="I23" s="285"/>
      <c r="J23" s="285"/>
      <c r="K23" s="285"/>
      <c r="L23" s="95"/>
      <c r="M23" s="95"/>
      <c r="N23" s="95"/>
      <c r="O23" s="95"/>
      <c r="P23" s="95"/>
      <c r="Q23" s="95"/>
      <c r="R23" s="95"/>
      <c r="S23" s="95"/>
      <c r="T23" s="95"/>
      <c r="U23" s="95"/>
      <c r="V23" s="95"/>
      <c r="W23" s="95"/>
      <c r="X23" s="95"/>
      <c r="Y23" s="95"/>
      <c r="Z23" s="95"/>
      <c r="AA23" s="51"/>
      <c r="AB23" s="96"/>
      <c r="AC23" s="96"/>
      <c r="AD23" s="96"/>
      <c r="AE23" s="96"/>
      <c r="AF23" s="96"/>
      <c r="AG23" s="96"/>
      <c r="AH23" s="96"/>
      <c r="AI23" s="96"/>
      <c r="AJ23" s="95"/>
      <c r="AK23" s="97"/>
      <c r="AL23" s="4"/>
      <c r="BC23" s="43" t="str">
        <f t="shared" si="0"/>
        <v>I = habitat collectifp343rénoz</v>
      </c>
      <c r="BD23" s="43" t="s">
        <v>4</v>
      </c>
      <c r="BE23" s="56" t="s">
        <v>16</v>
      </c>
      <c r="BF23" s="33" t="s">
        <v>24</v>
      </c>
      <c r="BG23" s="33" t="s">
        <v>381</v>
      </c>
      <c r="BH23" s="33">
        <v>1.7</v>
      </c>
      <c r="BI23" s="33">
        <v>2</v>
      </c>
    </row>
    <row r="24" spans="1:61" ht="15.6" customHeight="1" x14ac:dyDescent="0.25">
      <c r="A24" s="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4"/>
      <c r="AN24" s="33">
        <v>0</v>
      </c>
      <c r="BC24" s="43" t="str">
        <f t="shared" si="0"/>
        <v>I = habitat collectifstoresrénoz</v>
      </c>
      <c r="BD24" s="43" t="s">
        <v>4</v>
      </c>
      <c r="BE24" s="56" t="s">
        <v>19</v>
      </c>
      <c r="BF24" s="33" t="s">
        <v>24</v>
      </c>
      <c r="BG24" s="33" t="s">
        <v>381</v>
      </c>
      <c r="BH24" s="33">
        <v>0.5</v>
      </c>
      <c r="BI24" s="33">
        <v>0.5</v>
      </c>
    </row>
    <row r="25" spans="1:61" ht="17.25" customHeight="1" x14ac:dyDescent="0.25">
      <c r="A25" s="4"/>
      <c r="B25" s="95" t="s">
        <v>33</v>
      </c>
      <c r="C25" s="95"/>
      <c r="D25" s="95"/>
      <c r="E25" s="95"/>
      <c r="F25" s="95"/>
      <c r="G25" s="95"/>
      <c r="H25" s="95"/>
      <c r="I25" s="95"/>
      <c r="J25" s="98"/>
      <c r="K25" s="98"/>
      <c r="L25" s="98"/>
      <c r="M25" s="98"/>
      <c r="N25" s="98"/>
      <c r="O25" s="95"/>
      <c r="P25" s="95" t="s">
        <v>144</v>
      </c>
      <c r="Q25" s="95"/>
      <c r="R25" s="95"/>
      <c r="S25" s="95"/>
      <c r="T25" s="95"/>
      <c r="U25" s="146"/>
      <c r="V25" s="146"/>
      <c r="W25" s="95" t="s">
        <v>380</v>
      </c>
      <c r="X25" s="95"/>
      <c r="Y25" s="99" t="str">
        <f>IF(AN28=1,"Fournir EN-VS-104, exigences selon LcEne art.43","")</f>
        <v/>
      </c>
      <c r="Z25" s="95"/>
      <c r="AA25" s="95"/>
      <c r="AB25" s="95"/>
      <c r="AC25" s="95"/>
      <c r="AD25" s="95"/>
      <c r="AE25" s="95"/>
      <c r="AF25" s="95"/>
      <c r="AG25" s="95"/>
      <c r="AH25" s="95"/>
      <c r="AI25" s="95"/>
      <c r="AJ25" s="95"/>
      <c r="AK25" s="95"/>
      <c r="AL25" s="8"/>
      <c r="BC25" s="43" t="str">
        <f t="shared" si="0"/>
        <v>II = habitat individueltpneufssa</v>
      </c>
      <c r="BD25" s="43" t="s">
        <v>31</v>
      </c>
      <c r="BE25" s="56" t="s">
        <v>5</v>
      </c>
      <c r="BF25" s="33" t="s">
        <v>6</v>
      </c>
      <c r="BG25" s="33" t="s">
        <v>7</v>
      </c>
      <c r="BH25" s="33">
        <v>0.17</v>
      </c>
      <c r="BI25" s="33">
        <v>0.25</v>
      </c>
    </row>
    <row r="26" spans="1:61" ht="12" customHeight="1" x14ac:dyDescent="0.25">
      <c r="A26" s="4"/>
      <c r="B26" s="95"/>
      <c r="C26" s="95"/>
      <c r="D26" s="95"/>
      <c r="E26" s="95"/>
      <c r="F26" s="95"/>
      <c r="G26" s="95"/>
      <c r="H26" s="95"/>
      <c r="I26" s="95"/>
      <c r="J26" s="95"/>
      <c r="K26" s="95"/>
      <c r="L26" s="95"/>
      <c r="M26" s="95"/>
      <c r="N26" s="95"/>
      <c r="O26" s="95"/>
      <c r="P26" s="95"/>
      <c r="Q26" s="95"/>
      <c r="R26" s="95"/>
      <c r="S26" s="95"/>
      <c r="T26" s="95"/>
      <c r="U26" s="95"/>
      <c r="V26" s="95"/>
      <c r="W26" s="95"/>
      <c r="X26" s="95"/>
      <c r="Y26" s="100"/>
      <c r="Z26" s="95"/>
      <c r="AA26" s="95"/>
      <c r="AB26" s="95"/>
      <c r="AC26" s="95"/>
      <c r="AD26" s="95"/>
      <c r="AE26" s="95"/>
      <c r="AF26" s="95"/>
      <c r="AG26" s="95"/>
      <c r="AH26" s="95"/>
      <c r="AI26" s="95"/>
      <c r="AJ26" s="95"/>
      <c r="AK26" s="95"/>
      <c r="AL26" s="8"/>
      <c r="BC26" s="43" t="str">
        <f>BD26&amp;BE26&amp;BF26&amp;BG26</f>
        <v>II = habitat individuelmneufssa</v>
      </c>
      <c r="BD26" s="43" t="s">
        <v>31</v>
      </c>
      <c r="BE26" s="56" t="s">
        <v>8</v>
      </c>
      <c r="BF26" s="33" t="s">
        <v>6</v>
      </c>
      <c r="BG26" s="33" t="s">
        <v>7</v>
      </c>
      <c r="BH26" s="33">
        <v>0.17</v>
      </c>
      <c r="BI26" s="33">
        <v>0.25</v>
      </c>
    </row>
    <row r="27" spans="1:61" ht="12" customHeight="1" x14ac:dyDescent="0.25">
      <c r="A27" s="4"/>
      <c r="B27" s="95" t="s">
        <v>34</v>
      </c>
      <c r="C27" s="95"/>
      <c r="D27" s="95"/>
      <c r="E27" s="95"/>
      <c r="F27" s="95"/>
      <c r="G27" s="95"/>
      <c r="H27" s="95"/>
      <c r="I27" s="95"/>
      <c r="J27" s="95"/>
      <c r="K27" s="95"/>
      <c r="L27" s="95"/>
      <c r="M27" s="95"/>
      <c r="N27" s="95"/>
      <c r="O27" s="95"/>
      <c r="P27" s="95"/>
      <c r="Q27" s="95"/>
      <c r="R27" s="98"/>
      <c r="S27" s="98"/>
      <c r="T27" s="98"/>
      <c r="U27" s="98"/>
      <c r="V27" s="98"/>
      <c r="W27" s="98"/>
      <c r="X27" s="95"/>
      <c r="Y27" s="99" t="str">
        <f>IF(AN30=1,"Décompte individuel des frais de chauffage","")</f>
        <v/>
      </c>
      <c r="Z27" s="95"/>
      <c r="AA27" s="95"/>
      <c r="AB27" s="95"/>
      <c r="AC27" s="95"/>
      <c r="AD27" s="95"/>
      <c r="AE27" s="95"/>
      <c r="AF27" s="95"/>
      <c r="AG27" s="95"/>
      <c r="AH27" s="95"/>
      <c r="AI27" s="95"/>
      <c r="AJ27" s="95"/>
      <c r="AK27" s="95"/>
      <c r="AL27" s="8"/>
      <c r="BC27" s="43" t="str">
        <f>BD27&amp;BE27&amp;BF27&amp;BG27</f>
        <v>II = habitat individuelsneufssa</v>
      </c>
      <c r="BD27" s="43" t="s">
        <v>31</v>
      </c>
      <c r="BE27" s="56" t="s">
        <v>11</v>
      </c>
      <c r="BF27" s="33" t="s">
        <v>6</v>
      </c>
      <c r="BG27" s="33" t="s">
        <v>7</v>
      </c>
      <c r="BH27" s="33">
        <v>0.17</v>
      </c>
      <c r="BI27" s="33">
        <v>0.25</v>
      </c>
    </row>
    <row r="28" spans="1:61" ht="12" customHeight="1" x14ac:dyDescent="0.25">
      <c r="A28" s="4"/>
      <c r="B28" s="95" t="s">
        <v>35</v>
      </c>
      <c r="C28" s="95"/>
      <c r="D28" s="95"/>
      <c r="E28" s="95"/>
      <c r="F28" s="95"/>
      <c r="G28" s="95"/>
      <c r="H28" s="95"/>
      <c r="I28" s="95"/>
      <c r="J28" s="95"/>
      <c r="K28" s="95"/>
      <c r="L28" s="95"/>
      <c r="M28" s="95"/>
      <c r="N28" s="95"/>
      <c r="O28" s="95"/>
      <c r="P28" s="95"/>
      <c r="Q28" s="95"/>
      <c r="R28" s="98"/>
      <c r="S28" s="98"/>
      <c r="T28" s="98"/>
      <c r="U28" s="98"/>
      <c r="V28" s="98"/>
      <c r="W28" s="98"/>
      <c r="X28" s="95"/>
      <c r="Y28" s="99" t="str">
        <f>IF(AN30=1,"par bâtiment obligatoire","")</f>
        <v/>
      </c>
      <c r="Z28" s="95"/>
      <c r="AA28" s="95"/>
      <c r="AB28" s="95"/>
      <c r="AC28" s="95"/>
      <c r="AD28" s="95"/>
      <c r="AE28" s="95"/>
      <c r="AF28" s="95"/>
      <c r="AG28" s="95"/>
      <c r="AH28" s="95"/>
      <c r="AI28" s="95"/>
      <c r="AJ28" s="95"/>
      <c r="AK28" s="95"/>
      <c r="AL28" s="8"/>
      <c r="AN28" s="33">
        <v>0</v>
      </c>
      <c r="BC28" s="43" t="str">
        <f t="shared" si="0"/>
        <v>II = habitat individuelfenneufssa</v>
      </c>
      <c r="BD28" s="43" t="s">
        <v>31</v>
      </c>
      <c r="BE28" s="56" t="s">
        <v>12</v>
      </c>
      <c r="BF28" s="33" t="s">
        <v>6</v>
      </c>
      <c r="BG28" s="33" t="s">
        <v>7</v>
      </c>
      <c r="BH28" s="33" t="s">
        <v>145</v>
      </c>
      <c r="BI28" s="33" t="s">
        <v>146</v>
      </c>
    </row>
    <row r="29" spans="1:61" ht="20.100000000000001" customHeight="1" thickBot="1" x14ac:dyDescent="0.3">
      <c r="A29" s="12" t="b">
        <v>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4"/>
      <c r="BC29" s="43" t="str">
        <f t="shared" si="0"/>
        <v>II = habitat individuelportesneufssa</v>
      </c>
      <c r="BD29" s="43" t="s">
        <v>31</v>
      </c>
      <c r="BE29" s="56" t="s">
        <v>15</v>
      </c>
      <c r="BF29" s="33" t="s">
        <v>6</v>
      </c>
      <c r="BG29" s="33" t="s">
        <v>7</v>
      </c>
      <c r="BH29" s="33">
        <v>1.2</v>
      </c>
      <c r="BI29" s="33">
        <v>1.5</v>
      </c>
    </row>
    <row r="30" spans="1:61" ht="15" customHeight="1" x14ac:dyDescent="0.25">
      <c r="A30" s="12" t="b">
        <v>0</v>
      </c>
      <c r="B30" s="283" t="s">
        <v>36</v>
      </c>
      <c r="C30" s="283"/>
      <c r="D30" s="283"/>
      <c r="E30" s="283"/>
      <c r="F30" s="283"/>
      <c r="G30" s="283"/>
      <c r="H30" s="283"/>
      <c r="I30" s="283"/>
      <c r="J30" s="283"/>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33">
        <v>0</v>
      </c>
      <c r="BC30" s="43" t="str">
        <f t="shared" si="0"/>
        <v>II = habitat individuelp343neufssa</v>
      </c>
      <c r="BD30" s="43" t="s">
        <v>31</v>
      </c>
      <c r="BE30" s="56" t="s">
        <v>16</v>
      </c>
      <c r="BF30" s="33" t="s">
        <v>6</v>
      </c>
      <c r="BG30" s="33" t="s">
        <v>7</v>
      </c>
      <c r="BH30" s="33">
        <v>1.7</v>
      </c>
      <c r="BI30" s="33">
        <v>2</v>
      </c>
    </row>
    <row r="31" spans="1:61" ht="15" customHeight="1" x14ac:dyDescent="0.25">
      <c r="A31" s="4"/>
      <c r="B31" s="4" t="s">
        <v>37</v>
      </c>
      <c r="C31" s="4"/>
      <c r="D31" s="4"/>
      <c r="E31" s="4"/>
      <c r="F31" s="4"/>
      <c r="H31" s="36"/>
      <c r="I31" s="4" t="s">
        <v>370</v>
      </c>
      <c r="K31" s="4"/>
      <c r="L31" s="4"/>
      <c r="M31" s="4"/>
      <c r="N31" s="4"/>
      <c r="O31" s="4"/>
      <c r="P31" s="4"/>
      <c r="Q31" s="4"/>
      <c r="R31" s="4"/>
      <c r="S31" s="4"/>
      <c r="T31" s="4"/>
      <c r="U31" s="4"/>
      <c r="V31" s="4"/>
      <c r="W31" s="4"/>
      <c r="X31" s="4"/>
      <c r="Y31" s="35" t="str">
        <f>IF(AN34=1,"Fournir EN-VS-105","")</f>
        <v/>
      </c>
      <c r="Z31" s="4"/>
      <c r="AA31" s="4"/>
      <c r="AB31" s="4"/>
      <c r="AC31" s="4"/>
      <c r="AD31" s="4"/>
      <c r="AE31" s="4"/>
      <c r="AF31" s="4"/>
      <c r="AG31" s="4"/>
      <c r="AH31" s="4"/>
      <c r="AI31" s="4"/>
      <c r="AJ31" s="4"/>
      <c r="AK31" s="4"/>
      <c r="AL31" s="4"/>
      <c r="BC31" s="43" t="str">
        <f t="shared" si="0"/>
        <v>II = habitat individuelstoresneufssa</v>
      </c>
      <c r="BD31" s="43" t="s">
        <v>31</v>
      </c>
      <c r="BE31" s="56" t="s">
        <v>19</v>
      </c>
      <c r="BF31" s="33" t="s">
        <v>6</v>
      </c>
      <c r="BG31" s="33" t="s">
        <v>7</v>
      </c>
      <c r="BH31" s="33">
        <v>0.5</v>
      </c>
      <c r="BI31" s="33">
        <v>0.5</v>
      </c>
    </row>
    <row r="32" spans="1:61" ht="15" customHeight="1" x14ac:dyDescent="0.25">
      <c r="A32" s="4"/>
      <c r="B32" s="4" t="s">
        <v>133</v>
      </c>
      <c r="C32" s="4"/>
      <c r="D32" s="4"/>
      <c r="E32" s="4"/>
      <c r="F32" s="4"/>
      <c r="G32" s="4"/>
      <c r="H32" s="36"/>
      <c r="I32" s="4" t="s">
        <v>371</v>
      </c>
      <c r="J32" s="4"/>
      <c r="K32" s="4"/>
      <c r="L32" s="4"/>
      <c r="M32" s="4"/>
      <c r="N32" s="4"/>
      <c r="O32" s="4"/>
      <c r="P32" s="4"/>
      <c r="Q32" s="4"/>
      <c r="R32" s="4"/>
      <c r="S32" s="4"/>
      <c r="T32" s="4"/>
      <c r="U32" s="4"/>
      <c r="V32" s="4"/>
      <c r="W32" s="4"/>
      <c r="X32" s="4"/>
      <c r="Y32" s="35" t="str">
        <f>IF(AN34=2,"Fournir EN-VS-105","")</f>
        <v/>
      </c>
      <c r="Z32" s="4"/>
      <c r="AA32" s="4"/>
      <c r="AB32" s="4"/>
      <c r="AC32" s="4"/>
      <c r="AD32" s="4"/>
      <c r="AE32" s="4"/>
      <c r="AF32" s="4"/>
      <c r="AG32" s="4"/>
      <c r="AH32" s="4"/>
      <c r="AI32" s="4"/>
      <c r="AJ32" s="4"/>
      <c r="AK32" s="4"/>
      <c r="AL32" s="4"/>
      <c r="BC32" s="43" t="str">
        <f t="shared" si="0"/>
        <v>II = habitat individueltprénossg</v>
      </c>
      <c r="BD32" s="43" t="s">
        <v>31</v>
      </c>
      <c r="BE32" s="56" t="s">
        <v>5</v>
      </c>
      <c r="BF32" s="33" t="s">
        <v>24</v>
      </c>
      <c r="BG32" s="33" t="s">
        <v>25</v>
      </c>
      <c r="BH32" s="33">
        <v>0.25</v>
      </c>
      <c r="BI32" s="33">
        <v>0.28000000000000003</v>
      </c>
    </row>
    <row r="33" spans="1:61" ht="15" customHeight="1" x14ac:dyDescent="0.25">
      <c r="A33" s="4"/>
      <c r="B33" s="4"/>
      <c r="C33" s="4"/>
      <c r="D33" s="4"/>
      <c r="E33" s="4"/>
      <c r="F33" s="4"/>
      <c r="G33" s="4"/>
      <c r="H33" s="36"/>
      <c r="I33" s="4" t="s">
        <v>372</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BC33" s="43" t="str">
        <f>BD33&amp;BE33&amp;BF33&amp;BG33</f>
        <v>II = habitat individuelmrénossg</v>
      </c>
      <c r="BD33" s="43" t="s">
        <v>31</v>
      </c>
      <c r="BE33" s="56" t="s">
        <v>8</v>
      </c>
      <c r="BF33" s="33" t="s">
        <v>24</v>
      </c>
      <c r="BG33" s="33" t="s">
        <v>25</v>
      </c>
      <c r="BH33" s="33">
        <v>0.25</v>
      </c>
      <c r="BI33" s="33">
        <v>0.28000000000000003</v>
      </c>
    </row>
    <row r="34" spans="1:61" ht="15" customHeight="1" x14ac:dyDescent="0.25">
      <c r="A34" s="4"/>
      <c r="B34" s="4"/>
      <c r="C34" s="4"/>
      <c r="D34" s="4"/>
      <c r="E34" s="4"/>
      <c r="F34" s="4"/>
      <c r="G34" s="4"/>
      <c r="H34" s="36"/>
      <c r="I34" s="4" t="s">
        <v>373</v>
      </c>
      <c r="K34" s="4"/>
      <c r="L34" s="4"/>
      <c r="M34" s="4"/>
      <c r="O34" s="4"/>
      <c r="P34" s="4"/>
      <c r="Q34" s="4"/>
      <c r="R34" s="4"/>
      <c r="S34" s="4"/>
      <c r="T34" s="4"/>
      <c r="U34" s="4"/>
      <c r="V34" s="4"/>
      <c r="W34" s="4"/>
      <c r="X34" s="4"/>
      <c r="Y34" s="4"/>
      <c r="Z34" s="4"/>
      <c r="AA34" s="4"/>
      <c r="AB34" s="4"/>
      <c r="AC34" s="4"/>
      <c r="AD34" s="4"/>
      <c r="AE34" s="4"/>
      <c r="AF34" s="4"/>
      <c r="AG34" s="4"/>
      <c r="AH34" s="4"/>
      <c r="AI34" s="4"/>
      <c r="AJ34" s="4"/>
      <c r="AK34" s="4"/>
      <c r="AL34" s="4"/>
      <c r="AN34" s="33">
        <v>0</v>
      </c>
      <c r="BC34" s="43" t="str">
        <f>BD34&amp;BE34&amp;BF34&amp;BG34</f>
        <v>II = habitat individuelsrénossg</v>
      </c>
      <c r="BD34" s="43" t="s">
        <v>31</v>
      </c>
      <c r="BE34" s="56" t="s">
        <v>11</v>
      </c>
      <c r="BF34" s="33" t="s">
        <v>24</v>
      </c>
      <c r="BG34" s="33" t="s">
        <v>25</v>
      </c>
      <c r="BH34" s="33">
        <v>0.25</v>
      </c>
      <c r="BI34" s="33">
        <v>0.28000000000000003</v>
      </c>
    </row>
    <row r="35" spans="1:61" ht="15" customHeight="1" x14ac:dyDescent="0.25">
      <c r="A35" s="4"/>
      <c r="B35" s="4"/>
      <c r="C35" s="4"/>
      <c r="D35" s="4"/>
      <c r="E35" s="4"/>
      <c r="F35" s="4"/>
      <c r="G35" s="4"/>
      <c r="H35" s="36"/>
      <c r="I35" s="4" t="s">
        <v>374</v>
      </c>
      <c r="J35" s="4"/>
      <c r="K35" s="4"/>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4"/>
      <c r="BC35" s="43" t="str">
        <f t="shared" si="0"/>
        <v>II = habitat individuelfenrénossg</v>
      </c>
      <c r="BD35" s="43" t="s">
        <v>31</v>
      </c>
      <c r="BE35" s="56" t="s">
        <v>12</v>
      </c>
      <c r="BF35" s="33" t="s">
        <v>24</v>
      </c>
      <c r="BG35" s="33" t="s">
        <v>25</v>
      </c>
      <c r="BH35" s="33" t="s">
        <v>145</v>
      </c>
      <c r="BI35" s="33" t="s">
        <v>146</v>
      </c>
    </row>
    <row r="36" spans="1:61" ht="20.100000000000001" customHeight="1" thickBot="1" x14ac:dyDescent="0.3">
      <c r="A36" s="4"/>
      <c r="B36" s="6"/>
      <c r="C36" s="6"/>
      <c r="D36" s="6"/>
      <c r="E36" s="6"/>
      <c r="F36" s="6"/>
      <c r="G36" s="13"/>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
      <c r="BC36" s="43" t="str">
        <f t="shared" si="0"/>
        <v>II = habitat individuelportesrénossg</v>
      </c>
      <c r="BD36" s="43" t="s">
        <v>31</v>
      </c>
      <c r="BE36" s="56" t="s">
        <v>15</v>
      </c>
      <c r="BF36" s="33" t="s">
        <v>24</v>
      </c>
      <c r="BG36" s="33" t="s">
        <v>25</v>
      </c>
      <c r="BH36" s="33">
        <v>1.2</v>
      </c>
      <c r="BI36" s="33">
        <v>1.5</v>
      </c>
    </row>
    <row r="37" spans="1:61" ht="15.75" x14ac:dyDescent="0.25">
      <c r="A37" s="4"/>
      <c r="B37" s="283" t="s">
        <v>38</v>
      </c>
      <c r="C37" s="283"/>
      <c r="D37" s="283"/>
      <c r="E37" s="283"/>
      <c r="F37" s="283"/>
      <c r="G37" s="283"/>
      <c r="H37" s="283"/>
      <c r="I37" s="283"/>
      <c r="J37" s="283"/>
      <c r="K37" s="283"/>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BC37" s="43" t="str">
        <f t="shared" si="0"/>
        <v>II = habitat individuelp343rénossg</v>
      </c>
      <c r="BD37" s="43" t="s">
        <v>31</v>
      </c>
      <c r="BE37" s="56" t="s">
        <v>16</v>
      </c>
      <c r="BF37" s="33" t="s">
        <v>24</v>
      </c>
      <c r="BG37" s="33" t="s">
        <v>25</v>
      </c>
      <c r="BH37" s="33">
        <v>1.7</v>
      </c>
      <c r="BI37" s="33">
        <v>2</v>
      </c>
    </row>
    <row r="38" spans="1:61" ht="15" customHeight="1" x14ac:dyDescent="0.25">
      <c r="A38" s="4"/>
      <c r="B38" s="4" t="s">
        <v>39</v>
      </c>
      <c r="C38" s="4"/>
      <c r="D38" s="4"/>
      <c r="E38" s="4"/>
      <c r="F38" s="4"/>
      <c r="H38" s="36"/>
      <c r="I38" s="4" t="s">
        <v>109</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BC38" s="43" t="str">
        <f t="shared" si="0"/>
        <v>II = habitat individuelstoresrénossg</v>
      </c>
      <c r="BD38" s="43" t="s">
        <v>31</v>
      </c>
      <c r="BE38" s="56" t="s">
        <v>19</v>
      </c>
      <c r="BF38" s="33" t="s">
        <v>24</v>
      </c>
      <c r="BG38" s="33" t="s">
        <v>25</v>
      </c>
      <c r="BH38" s="33">
        <v>0.5</v>
      </c>
      <c r="BI38" s="33">
        <v>0.5</v>
      </c>
    </row>
    <row r="39" spans="1:61" ht="15" customHeight="1" x14ac:dyDescent="0.25">
      <c r="A39" s="4"/>
      <c r="B39" s="4"/>
      <c r="C39" s="4"/>
      <c r="D39" s="4"/>
      <c r="E39" s="4"/>
      <c r="F39" s="4"/>
      <c r="G39" s="4"/>
      <c r="H39" s="36"/>
      <c r="I39" s="4" t="s">
        <v>110</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BC39" s="43" t="str">
        <f t="shared" si="0"/>
        <v>II = habitat individueltprénoz</v>
      </c>
      <c r="BD39" s="43" t="s">
        <v>31</v>
      </c>
      <c r="BE39" s="56" t="s">
        <v>5</v>
      </c>
      <c r="BF39" s="33" t="s">
        <v>24</v>
      </c>
      <c r="BG39" s="33" t="s">
        <v>381</v>
      </c>
      <c r="BH39" s="33">
        <v>0.25</v>
      </c>
      <c r="BI39" s="33">
        <v>0.28000000000000003</v>
      </c>
    </row>
    <row r="40" spans="1:61" ht="15" customHeight="1" x14ac:dyDescent="0.25">
      <c r="A40" s="4"/>
      <c r="B40" s="4"/>
      <c r="C40" s="4"/>
      <c r="D40" s="4"/>
      <c r="E40" s="4"/>
      <c r="F40" s="4"/>
      <c r="G40" s="4"/>
      <c r="H40" s="36"/>
      <c r="I40" s="4" t="s">
        <v>255</v>
      </c>
      <c r="J40" s="4"/>
      <c r="K40" s="4"/>
      <c r="L40" s="4"/>
      <c r="M40" s="4"/>
      <c r="N40" s="4"/>
      <c r="O40" s="4"/>
      <c r="P40" s="4"/>
      <c r="Q40" s="4"/>
      <c r="R40" s="4"/>
      <c r="S40" s="4"/>
      <c r="T40" s="4"/>
      <c r="U40" s="4" t="s">
        <v>40</v>
      </c>
      <c r="V40" s="4"/>
      <c r="W40" s="4"/>
      <c r="X40" s="4"/>
      <c r="Y40" s="284" t="s">
        <v>155</v>
      </c>
      <c r="Z40" s="284"/>
      <c r="AA40" s="284"/>
      <c r="AB40" s="284"/>
      <c r="AC40" s="284"/>
      <c r="AD40" s="284"/>
      <c r="AE40" s="284"/>
      <c r="AF40" s="284"/>
      <c r="AG40" s="284"/>
      <c r="AH40" s="284"/>
      <c r="AI40" s="284"/>
      <c r="AJ40" s="284"/>
      <c r="AK40" s="284"/>
      <c r="AL40" s="4"/>
      <c r="AN40" s="33">
        <v>0</v>
      </c>
      <c r="BC40" s="43" t="str">
        <f t="shared" si="0"/>
        <v>II = habitat individuelmrénoz</v>
      </c>
      <c r="BD40" s="43" t="s">
        <v>31</v>
      </c>
      <c r="BE40" s="56" t="s">
        <v>8</v>
      </c>
      <c r="BF40" s="33" t="s">
        <v>24</v>
      </c>
      <c r="BG40" s="33" t="s">
        <v>381</v>
      </c>
      <c r="BH40" s="33">
        <v>0.25</v>
      </c>
      <c r="BI40" s="33">
        <v>0.28000000000000003</v>
      </c>
    </row>
    <row r="41" spans="1:61" ht="15" customHeight="1" x14ac:dyDescent="0.25">
      <c r="A41" s="4"/>
      <c r="B41" s="4"/>
      <c r="C41" s="4"/>
      <c r="D41" s="4"/>
      <c r="E41" s="4"/>
      <c r="F41" s="4"/>
      <c r="G41" s="4"/>
      <c r="H41" s="4"/>
      <c r="I41" s="4"/>
      <c r="J41" s="4"/>
      <c r="K41" s="4"/>
      <c r="L41" s="4"/>
      <c r="M41" s="4"/>
      <c r="O41" s="4"/>
      <c r="P41" s="4"/>
      <c r="Q41" s="4"/>
      <c r="R41" s="4"/>
      <c r="S41" s="4"/>
      <c r="T41" s="4"/>
      <c r="U41" s="4"/>
      <c r="V41" s="4"/>
      <c r="W41" s="4"/>
      <c r="X41" s="4"/>
      <c r="Y41" s="42"/>
      <c r="Z41" s="42"/>
      <c r="AA41" s="42"/>
      <c r="AB41" s="42"/>
      <c r="AC41" s="42"/>
      <c r="AD41" s="42"/>
      <c r="AE41" s="42"/>
      <c r="AF41" s="42"/>
      <c r="AG41" s="42"/>
      <c r="AH41" s="42"/>
      <c r="AI41" s="42"/>
      <c r="AJ41" s="42"/>
      <c r="AK41" s="42"/>
      <c r="AL41" s="4"/>
      <c r="BC41" s="43" t="str">
        <f t="shared" si="0"/>
        <v>II = habitat individuelsrénoz</v>
      </c>
      <c r="BD41" s="43" t="s">
        <v>31</v>
      </c>
      <c r="BE41" s="56" t="s">
        <v>11</v>
      </c>
      <c r="BF41" s="33" t="s">
        <v>24</v>
      </c>
      <c r="BG41" s="33" t="s">
        <v>381</v>
      </c>
      <c r="BH41" s="33">
        <v>0.25</v>
      </c>
      <c r="BI41" s="33">
        <v>0.28000000000000003</v>
      </c>
    </row>
    <row r="42" spans="1:61" ht="15" customHeight="1" x14ac:dyDescent="0.25">
      <c r="A42" s="4"/>
      <c r="B42" s="39" t="s">
        <v>42</v>
      </c>
      <c r="C42" s="4"/>
      <c r="D42" s="4"/>
      <c r="E42" s="4"/>
      <c r="F42" s="4"/>
      <c r="G42" s="4"/>
      <c r="H42" s="36"/>
      <c r="I42" s="4" t="s">
        <v>111</v>
      </c>
      <c r="J42" s="4"/>
      <c r="K42" s="4"/>
      <c r="L42" s="4"/>
      <c r="M42" s="4"/>
      <c r="N42" s="4"/>
      <c r="O42" s="4"/>
      <c r="P42" s="4"/>
      <c r="Q42" s="4"/>
      <c r="R42" s="4"/>
      <c r="S42" s="4"/>
      <c r="T42" s="4"/>
      <c r="U42" s="4"/>
      <c r="V42" s="4"/>
      <c r="W42" s="4"/>
      <c r="X42" s="4"/>
      <c r="Y42" s="40"/>
      <c r="Z42" s="40"/>
      <c r="AA42" s="40"/>
      <c r="AB42" s="40"/>
      <c r="AC42" s="40"/>
      <c r="AD42" s="40"/>
      <c r="AE42" s="40"/>
      <c r="AF42" s="40"/>
      <c r="AG42" s="40"/>
      <c r="AH42" s="40"/>
      <c r="AI42" s="40"/>
      <c r="AJ42" s="40"/>
      <c r="AK42" s="40"/>
      <c r="AL42" s="4"/>
      <c r="BC42" s="43" t="str">
        <f t="shared" si="0"/>
        <v>II = habitat individuelfenrénoz</v>
      </c>
      <c r="BD42" s="43" t="s">
        <v>31</v>
      </c>
      <c r="BE42" s="56" t="s">
        <v>12</v>
      </c>
      <c r="BF42" s="33" t="s">
        <v>24</v>
      </c>
      <c r="BG42" s="33" t="s">
        <v>381</v>
      </c>
      <c r="BH42" s="33">
        <v>1</v>
      </c>
      <c r="BI42" s="33">
        <v>1.3</v>
      </c>
    </row>
    <row r="43" spans="1:61" ht="15" customHeight="1" x14ac:dyDescent="0.25">
      <c r="A43" s="4"/>
      <c r="B43" s="4"/>
      <c r="C43" s="4"/>
      <c r="D43" s="4"/>
      <c r="E43" s="4"/>
      <c r="F43" s="4"/>
      <c r="G43" s="4"/>
      <c r="H43" s="36"/>
      <c r="I43" s="4" t="s">
        <v>112</v>
      </c>
      <c r="J43" s="4"/>
      <c r="K43" s="4"/>
      <c r="L43" s="36"/>
      <c r="M43" s="4" t="s">
        <v>113</v>
      </c>
      <c r="N43" s="4"/>
      <c r="O43" s="4"/>
      <c r="P43" s="4"/>
      <c r="Q43" s="4"/>
      <c r="R43" s="4"/>
      <c r="S43" s="4"/>
      <c r="T43" s="4"/>
      <c r="U43" s="4"/>
      <c r="V43" s="4"/>
      <c r="W43" s="4"/>
      <c r="X43" s="4"/>
      <c r="Y43" s="4"/>
      <c r="Z43" s="4"/>
      <c r="AA43" s="4"/>
      <c r="AB43" s="4"/>
      <c r="AC43" s="4"/>
      <c r="AD43" s="4"/>
      <c r="AE43" s="4"/>
      <c r="AF43" s="4"/>
      <c r="AG43" s="4"/>
      <c r="AH43" s="4"/>
      <c r="AI43" s="4"/>
      <c r="AJ43" s="4"/>
      <c r="AK43" s="4"/>
      <c r="AL43" s="4"/>
      <c r="AN43" s="33">
        <v>0</v>
      </c>
      <c r="BC43" s="43" t="str">
        <f t="shared" si="0"/>
        <v>II = habitat individuelportesrénoz</v>
      </c>
      <c r="BD43" s="43" t="s">
        <v>31</v>
      </c>
      <c r="BE43" s="56" t="s">
        <v>15</v>
      </c>
      <c r="BF43" s="33" t="s">
        <v>24</v>
      </c>
      <c r="BG43" s="33" t="s">
        <v>381</v>
      </c>
      <c r="BH43" s="33">
        <v>1.2</v>
      </c>
      <c r="BI43" s="33">
        <v>1.5</v>
      </c>
    </row>
    <row r="44" spans="1:61" ht="15" customHeight="1" x14ac:dyDescent="0.25">
      <c r="A44" s="4"/>
      <c r="B44" s="4"/>
      <c r="C44" s="4"/>
      <c r="D44" s="4"/>
      <c r="E44" s="4"/>
      <c r="F44" s="4"/>
      <c r="G44" s="4"/>
      <c r="H44" s="4"/>
      <c r="I44" s="4"/>
      <c r="J44" s="4"/>
      <c r="K44" s="4"/>
      <c r="L44" s="36"/>
      <c r="M44" s="4" t="s">
        <v>256</v>
      </c>
      <c r="N44" s="4"/>
      <c r="O44" s="4"/>
      <c r="P44" s="4"/>
      <c r="Q44" s="4"/>
      <c r="R44" s="4"/>
      <c r="S44" s="4"/>
      <c r="T44" s="4"/>
      <c r="U44" s="4" t="s">
        <v>40</v>
      </c>
      <c r="V44" s="4"/>
      <c r="W44" s="4"/>
      <c r="X44" s="4"/>
      <c r="Y44" s="284" t="s">
        <v>155</v>
      </c>
      <c r="Z44" s="284"/>
      <c r="AA44" s="284"/>
      <c r="AB44" s="284"/>
      <c r="AC44" s="284"/>
      <c r="AD44" s="284"/>
      <c r="AE44" s="284"/>
      <c r="AF44" s="284"/>
      <c r="AG44" s="284"/>
      <c r="AH44" s="284"/>
      <c r="AI44" s="284"/>
      <c r="AJ44" s="284"/>
      <c r="AK44" s="284"/>
      <c r="AL44" s="4"/>
      <c r="AN44" s="33" t="b">
        <v>0</v>
      </c>
      <c r="BC44" s="43" t="str">
        <f t="shared" si="0"/>
        <v>II = habitat individuelp343rénoz</v>
      </c>
      <c r="BD44" s="43" t="s">
        <v>31</v>
      </c>
      <c r="BE44" s="56" t="s">
        <v>16</v>
      </c>
      <c r="BF44" s="33" t="s">
        <v>24</v>
      </c>
      <c r="BG44" s="33" t="s">
        <v>381</v>
      </c>
      <c r="BH44" s="33">
        <v>1.7</v>
      </c>
      <c r="BI44" s="33">
        <v>2</v>
      </c>
    </row>
    <row r="45" spans="1:61" ht="20.100000000000001" customHeight="1" thickBot="1" x14ac:dyDescent="0.3">
      <c r="A45" s="4"/>
      <c r="B45" s="6"/>
      <c r="C45" s="6"/>
      <c r="D45" s="6"/>
      <c r="E45" s="6"/>
      <c r="F45" s="6"/>
      <c r="G45" s="6"/>
      <c r="H45" s="6"/>
      <c r="I45" s="6"/>
      <c r="J45" s="6"/>
      <c r="K45" s="6"/>
      <c r="L45" s="6"/>
      <c r="M45" s="6"/>
      <c r="N45" s="6"/>
      <c r="O45" s="6"/>
      <c r="P45" s="6"/>
      <c r="Q45" s="6"/>
      <c r="R45" s="6"/>
      <c r="S45" s="6"/>
      <c r="T45" s="6"/>
      <c r="U45" s="6"/>
      <c r="V45" s="6"/>
      <c r="W45" s="6"/>
      <c r="X45" s="6"/>
      <c r="Y45" s="41"/>
      <c r="Z45" s="41"/>
      <c r="AA45" s="41"/>
      <c r="AB45" s="41"/>
      <c r="AC45" s="41"/>
      <c r="AD45" s="41"/>
      <c r="AE45" s="41"/>
      <c r="AF45" s="41"/>
      <c r="AG45" s="41"/>
      <c r="AH45" s="41"/>
      <c r="AI45" s="41"/>
      <c r="AJ45" s="41"/>
      <c r="AK45" s="71" t="str">
        <f>IF(AND(AN43=2,AN44=TRUE,Y44=U165),"Fournir justificatifs EN-VS-104 et EN-VS-110","")</f>
        <v/>
      </c>
      <c r="AL45" s="4"/>
      <c r="BC45" s="43" t="str">
        <f t="shared" si="0"/>
        <v>II = habitat individuelstoresrénoz</v>
      </c>
      <c r="BD45" s="43" t="s">
        <v>31</v>
      </c>
      <c r="BE45" s="56" t="s">
        <v>19</v>
      </c>
      <c r="BF45" s="33" t="s">
        <v>24</v>
      </c>
      <c r="BG45" s="33" t="s">
        <v>381</v>
      </c>
      <c r="BH45" s="33">
        <v>0.5</v>
      </c>
      <c r="BI45" s="33">
        <v>0.5</v>
      </c>
    </row>
    <row r="46" spans="1:61" ht="15" customHeight="1" x14ac:dyDescent="0.25">
      <c r="A46" s="4"/>
      <c r="B46" s="283" t="s">
        <v>45</v>
      </c>
      <c r="C46" s="283"/>
      <c r="D46" s="283"/>
      <c r="E46" s="283"/>
      <c r="F46" s="283"/>
      <c r="G46" s="283"/>
      <c r="H46" s="283"/>
      <c r="I46" s="283"/>
      <c r="J46" s="283"/>
      <c r="K46" s="283"/>
      <c r="L46" s="283"/>
      <c r="M46" s="283"/>
      <c r="N46" s="4"/>
      <c r="O46" s="4"/>
      <c r="P46" s="63" t="str">
        <f>IF(AQ14=TRUE,"NEUF (bâtiment à construire ou agrandissement)",IF(AR14=TRUE,"RENOVATION (transformation ou changement d'affectation)","Sélectionner d'abord la ''nature des travaux'' plus haut"))</f>
        <v>RENOVATION (transformation ou changement d'affectation)</v>
      </c>
      <c r="Q46" s="4"/>
      <c r="R46" s="4"/>
      <c r="S46" s="4"/>
      <c r="T46" s="4"/>
      <c r="U46" s="4"/>
      <c r="V46" s="4"/>
      <c r="W46" s="4"/>
      <c r="X46" s="4"/>
      <c r="Y46" s="4"/>
      <c r="Z46" s="4"/>
      <c r="AA46" s="4"/>
      <c r="AB46" s="4"/>
      <c r="AC46" s="4"/>
      <c r="AD46" s="4"/>
      <c r="AE46" s="4"/>
      <c r="AF46" s="4"/>
      <c r="AG46" s="4"/>
      <c r="AH46" s="4"/>
      <c r="AI46" s="4"/>
      <c r="AJ46" s="4"/>
      <c r="AK46" s="4"/>
      <c r="AL46" s="4"/>
      <c r="BC46" s="43" t="str">
        <f t="shared" si="0"/>
        <v>III = administrationtpneufz</v>
      </c>
      <c r="BD46" s="43" t="s">
        <v>43</v>
      </c>
      <c r="BE46" s="56" t="s">
        <v>5</v>
      </c>
      <c r="BF46" s="33" t="s">
        <v>6</v>
      </c>
      <c r="BG46" s="33" t="s">
        <v>381</v>
      </c>
      <c r="BH46" s="33">
        <v>0.17</v>
      </c>
      <c r="BI46" s="33">
        <v>0.25</v>
      </c>
    </row>
    <row r="47" spans="1:61" ht="15" customHeight="1" x14ac:dyDescent="0.25">
      <c r="A47" s="4"/>
      <c r="B47" s="4" t="s">
        <v>148</v>
      </c>
      <c r="C47" s="4"/>
      <c r="D47" s="4"/>
      <c r="E47" s="4"/>
      <c r="F47" s="4"/>
      <c r="G47" s="4"/>
      <c r="H47" s="4"/>
      <c r="I47" s="4"/>
      <c r="J47" s="4"/>
      <c r="K47" s="4"/>
      <c r="L47" s="4"/>
      <c r="M47" s="279" t="s">
        <v>155</v>
      </c>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4"/>
      <c r="AN47" s="33">
        <f>IF(P46="Sélectionner d'abbord la 'nature des travaux' plus haut",0,1)</f>
        <v>1</v>
      </c>
      <c r="BC47" s="43" t="str">
        <f>BD47&amp;BE47&amp;BF47&amp;BG47</f>
        <v>III = administrationmneufz</v>
      </c>
      <c r="BD47" s="43" t="s">
        <v>43</v>
      </c>
      <c r="BE47" s="56" t="s">
        <v>8</v>
      </c>
      <c r="BF47" s="33" t="s">
        <v>6</v>
      </c>
      <c r="BG47" s="33" t="s">
        <v>381</v>
      </c>
      <c r="BH47" s="33">
        <v>0.17</v>
      </c>
      <c r="BI47" s="33">
        <v>0.25</v>
      </c>
    </row>
    <row r="48" spans="1:61" ht="15" customHeight="1" x14ac:dyDescent="0.25">
      <c r="A48" s="4"/>
      <c r="B48" s="4" t="s">
        <v>149</v>
      </c>
      <c r="C48" s="4"/>
      <c r="D48" s="4"/>
      <c r="E48" s="4"/>
      <c r="F48" s="4"/>
      <c r="G48" s="4"/>
      <c r="H48" s="4"/>
      <c r="I48" s="4"/>
      <c r="J48" s="4"/>
      <c r="K48" s="4"/>
      <c r="L48" s="4"/>
      <c r="M48" s="232" t="s">
        <v>155</v>
      </c>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4"/>
      <c r="AN48" s="33">
        <f>VLOOKUP(M48,U129:AK143,17,FALSE)</f>
        <v>0</v>
      </c>
      <c r="BC48" s="43" t="str">
        <f>BD48&amp;BE48&amp;BF48&amp;BG48</f>
        <v>III = administrationsneufz</v>
      </c>
      <c r="BD48" s="43" t="s">
        <v>43</v>
      </c>
      <c r="BE48" s="56" t="s">
        <v>11</v>
      </c>
      <c r="BF48" s="33" t="s">
        <v>6</v>
      </c>
      <c r="BG48" s="33" t="s">
        <v>381</v>
      </c>
      <c r="BH48" s="33">
        <v>0.17</v>
      </c>
      <c r="BI48" s="33">
        <v>0.25</v>
      </c>
    </row>
    <row r="49" spans="1:82" ht="15" customHeight="1" x14ac:dyDescent="0.25">
      <c r="A49" s="4"/>
      <c r="B49" s="4"/>
      <c r="C49" s="4"/>
      <c r="D49" s="4"/>
      <c r="E49" s="4"/>
      <c r="F49" s="4"/>
      <c r="G49" s="4"/>
      <c r="H49" s="4"/>
      <c r="I49" s="4"/>
      <c r="J49" s="4"/>
      <c r="K49" s="4"/>
      <c r="L49" s="4"/>
      <c r="M49" s="35" t="str">
        <f>IF(OR(AN48="ssa",AN48="ssb",AN48="ssc"),"rendement de récup ventil mini 80% requis pour sol.std. 1 / part énergie fossile max 25%","")</f>
        <v/>
      </c>
      <c r="N49" s="4"/>
      <c r="O49" s="4"/>
      <c r="P49" s="4"/>
      <c r="Q49" s="4"/>
      <c r="R49" s="4"/>
      <c r="S49" s="4"/>
      <c r="T49" s="4"/>
      <c r="U49" s="4"/>
      <c r="V49" s="4"/>
      <c r="W49" s="4"/>
      <c r="X49" s="4"/>
      <c r="Y49" s="4"/>
      <c r="Z49" s="4"/>
      <c r="AA49" s="4"/>
      <c r="AB49" s="4"/>
      <c r="AC49" s="4"/>
      <c r="AD49" s="4"/>
      <c r="AE49" s="4"/>
      <c r="AF49" s="4"/>
      <c r="AG49" s="4"/>
      <c r="AH49" s="4"/>
      <c r="AI49" s="4"/>
      <c r="AJ49" s="4"/>
      <c r="AK49" s="4"/>
      <c r="AL49" s="4"/>
      <c r="BC49" s="43" t="str">
        <f t="shared" si="0"/>
        <v>III = administrationfenneufz</v>
      </c>
      <c r="BD49" s="43" t="s">
        <v>43</v>
      </c>
      <c r="BE49" s="56" t="s">
        <v>12</v>
      </c>
      <c r="BF49" s="33" t="s">
        <v>6</v>
      </c>
      <c r="BG49" s="33" t="s">
        <v>381</v>
      </c>
      <c r="BH49" s="33" t="s">
        <v>145</v>
      </c>
      <c r="BI49" s="33" t="s">
        <v>146</v>
      </c>
    </row>
    <row r="50" spans="1:82" ht="15" customHeight="1" x14ac:dyDescent="0.25">
      <c r="A50" s="4"/>
      <c r="B50" s="273" t="s">
        <v>46</v>
      </c>
      <c r="C50" s="274"/>
      <c r="D50" s="274"/>
      <c r="E50" s="274"/>
      <c r="F50" s="274"/>
      <c r="G50" s="274"/>
      <c r="H50" s="274"/>
      <c r="I50" s="274"/>
      <c r="J50" s="274"/>
      <c r="K50" s="275"/>
      <c r="L50" s="173" t="s">
        <v>47</v>
      </c>
      <c r="M50" s="174"/>
      <c r="N50" s="174"/>
      <c r="O50" s="174"/>
      <c r="P50" s="174"/>
      <c r="Q50" s="174"/>
      <c r="R50" s="174"/>
      <c r="S50" s="174"/>
      <c r="T50" s="174"/>
      <c r="U50" s="174"/>
      <c r="V50" s="174"/>
      <c r="W50" s="175"/>
      <c r="X50" s="173" t="s">
        <v>48</v>
      </c>
      <c r="Y50" s="174"/>
      <c r="Z50" s="174"/>
      <c r="AA50" s="174"/>
      <c r="AB50" s="174"/>
      <c r="AC50" s="174"/>
      <c r="AD50" s="174"/>
      <c r="AE50" s="174"/>
      <c r="AF50" s="174"/>
      <c r="AG50" s="174"/>
      <c r="AH50" s="174"/>
      <c r="AI50" s="174"/>
      <c r="AJ50" s="175"/>
      <c r="AK50" s="4"/>
      <c r="AL50" s="4"/>
      <c r="BC50" s="43" t="str">
        <f t="shared" si="0"/>
        <v>III = administrationportesneufz</v>
      </c>
      <c r="BD50" s="43" t="s">
        <v>43</v>
      </c>
      <c r="BE50" s="56" t="s">
        <v>15</v>
      </c>
      <c r="BF50" s="33" t="s">
        <v>6</v>
      </c>
      <c r="BG50" s="33" t="s">
        <v>381</v>
      </c>
      <c r="BH50" s="33">
        <v>1.2</v>
      </c>
      <c r="BI50" s="33">
        <v>1.5</v>
      </c>
    </row>
    <row r="51" spans="1:82" ht="15" customHeight="1" x14ac:dyDescent="0.25">
      <c r="A51" s="4"/>
      <c r="B51" s="280" t="s">
        <v>49</v>
      </c>
      <c r="C51" s="281"/>
      <c r="D51" s="281"/>
      <c r="E51" s="281"/>
      <c r="F51" s="281"/>
      <c r="G51" s="281"/>
      <c r="H51" s="281"/>
      <c r="I51" s="281"/>
      <c r="J51" s="281"/>
      <c r="K51" s="282"/>
      <c r="L51" s="179"/>
      <c r="M51" s="180"/>
      <c r="N51" s="180"/>
      <c r="O51" s="180"/>
      <c r="P51" s="180"/>
      <c r="Q51" s="180"/>
      <c r="R51" s="180"/>
      <c r="S51" s="180"/>
      <c r="T51" s="180"/>
      <c r="U51" s="180"/>
      <c r="V51" s="180"/>
      <c r="W51" s="181"/>
      <c r="X51" s="179"/>
      <c r="Y51" s="180"/>
      <c r="Z51" s="177"/>
      <c r="AA51" s="177"/>
      <c r="AB51" s="177"/>
      <c r="AC51" s="177"/>
      <c r="AD51" s="177"/>
      <c r="AE51" s="177"/>
      <c r="AF51" s="177"/>
      <c r="AG51" s="177"/>
      <c r="AH51" s="177"/>
      <c r="AI51" s="177"/>
      <c r="AJ51" s="178"/>
      <c r="AK51" s="4"/>
      <c r="AL51" s="4"/>
      <c r="BC51" s="43" t="str">
        <f t="shared" si="0"/>
        <v>III = administrationp343neufz</v>
      </c>
      <c r="BD51" s="43" t="s">
        <v>43</v>
      </c>
      <c r="BE51" s="56" t="s">
        <v>16</v>
      </c>
      <c r="BF51" s="33" t="s">
        <v>6</v>
      </c>
      <c r="BG51" s="33" t="s">
        <v>381</v>
      </c>
      <c r="BH51" s="33">
        <v>1.7</v>
      </c>
      <c r="BI51" s="33">
        <v>2</v>
      </c>
    </row>
    <row r="52" spans="1:82" ht="15" customHeight="1" x14ac:dyDescent="0.25">
      <c r="A52" s="4"/>
      <c r="B52" s="273" t="s">
        <v>50</v>
      </c>
      <c r="C52" s="274"/>
      <c r="D52" s="274"/>
      <c r="E52" s="274"/>
      <c r="F52" s="274"/>
      <c r="G52" s="274"/>
      <c r="H52" s="274"/>
      <c r="I52" s="274"/>
      <c r="J52" s="274"/>
      <c r="K52" s="275"/>
      <c r="L52" s="173" t="s">
        <v>51</v>
      </c>
      <c r="M52" s="175"/>
      <c r="N52" s="14" t="s">
        <v>52</v>
      </c>
      <c r="O52" s="15"/>
      <c r="P52" s="16"/>
      <c r="Q52" s="14" t="s">
        <v>53</v>
      </c>
      <c r="R52" s="15"/>
      <c r="S52" s="16"/>
      <c r="T52" s="173" t="s">
        <v>54</v>
      </c>
      <c r="U52" s="174"/>
      <c r="V52" s="174"/>
      <c r="W52" s="175"/>
      <c r="X52" s="173" t="s">
        <v>51</v>
      </c>
      <c r="Y52" s="174"/>
      <c r="Z52" s="173" t="s">
        <v>52</v>
      </c>
      <c r="AA52" s="174"/>
      <c r="AB52" s="175"/>
      <c r="AC52" s="173" t="s">
        <v>53</v>
      </c>
      <c r="AD52" s="174"/>
      <c r="AE52" s="174"/>
      <c r="AF52" s="173" t="s">
        <v>54</v>
      </c>
      <c r="AG52" s="174"/>
      <c r="AH52" s="174"/>
      <c r="AI52" s="174"/>
      <c r="AJ52" s="175"/>
      <c r="AK52" s="4"/>
      <c r="AL52" s="4"/>
      <c r="BC52" s="43" t="str">
        <f t="shared" si="0"/>
        <v>III = administrationstoresneufz</v>
      </c>
      <c r="BD52" s="43" t="s">
        <v>43</v>
      </c>
      <c r="BE52" s="56" t="s">
        <v>19</v>
      </c>
      <c r="BF52" s="33" t="s">
        <v>6</v>
      </c>
      <c r="BG52" s="33" t="s">
        <v>381</v>
      </c>
      <c r="BH52" s="33">
        <v>0.5</v>
      </c>
      <c r="BI52" s="33">
        <v>0.5</v>
      </c>
    </row>
    <row r="53" spans="1:82" ht="15" customHeight="1" x14ac:dyDescent="0.25">
      <c r="A53" s="4"/>
      <c r="B53" s="276"/>
      <c r="C53" s="277"/>
      <c r="D53" s="277"/>
      <c r="E53" s="277"/>
      <c r="F53" s="277"/>
      <c r="G53" s="277"/>
      <c r="H53" s="277"/>
      <c r="I53" s="277"/>
      <c r="J53" s="277"/>
      <c r="K53" s="278"/>
      <c r="L53" s="179"/>
      <c r="M53" s="181"/>
      <c r="N53" s="179" t="s">
        <v>55</v>
      </c>
      <c r="O53" s="180"/>
      <c r="P53" s="181"/>
      <c r="Q53" s="179" t="s">
        <v>56</v>
      </c>
      <c r="R53" s="180"/>
      <c r="S53" s="181"/>
      <c r="T53" s="179" t="s">
        <v>56</v>
      </c>
      <c r="U53" s="180"/>
      <c r="V53" s="180"/>
      <c r="W53" s="181"/>
      <c r="X53" s="179"/>
      <c r="Y53" s="180"/>
      <c r="Z53" s="179" t="s">
        <v>55</v>
      </c>
      <c r="AA53" s="180"/>
      <c r="AB53" s="181"/>
      <c r="AC53" s="179" t="s">
        <v>56</v>
      </c>
      <c r="AD53" s="180"/>
      <c r="AE53" s="180"/>
      <c r="AF53" s="179" t="s">
        <v>56</v>
      </c>
      <c r="AG53" s="180"/>
      <c r="AH53" s="180"/>
      <c r="AI53" s="180"/>
      <c r="AJ53" s="181"/>
      <c r="AK53" s="4"/>
      <c r="AL53" s="4"/>
      <c r="BC53" s="43" t="str">
        <f t="shared" si="0"/>
        <v>III = administrationtprénoz</v>
      </c>
      <c r="BD53" s="43" t="s">
        <v>43</v>
      </c>
      <c r="BE53" s="56" t="s">
        <v>5</v>
      </c>
      <c r="BF53" s="33" t="s">
        <v>24</v>
      </c>
      <c r="BG53" s="33" t="s">
        <v>381</v>
      </c>
      <c r="BH53" s="33">
        <v>0.25</v>
      </c>
      <c r="BI53" s="33">
        <v>0.28000000000000003</v>
      </c>
    </row>
    <row r="54" spans="1:82" ht="15" customHeight="1" x14ac:dyDescent="0.25">
      <c r="A54" s="4"/>
      <c r="B54" s="228" t="s">
        <v>57</v>
      </c>
      <c r="C54" s="229"/>
      <c r="D54" s="229"/>
      <c r="E54" s="229"/>
      <c r="F54" s="229"/>
      <c r="G54" s="229"/>
      <c r="H54" s="229"/>
      <c r="I54" s="229"/>
      <c r="J54" s="229"/>
      <c r="K54" s="230"/>
      <c r="L54" s="231"/>
      <c r="M54" s="272"/>
      <c r="N54" s="233"/>
      <c r="O54" s="234"/>
      <c r="P54" s="235"/>
      <c r="Q54" s="233"/>
      <c r="R54" s="234"/>
      <c r="S54" s="235"/>
      <c r="T54" s="212" t="str">
        <f>IFERROR(IF($AQ$14=TRUE,VLOOKUP($M$47&amp;"tp"&amp;"neuf"&amp;$AN$48,BC:BI,6,FALSE),(VLOOKUP($M$47&amp;"tp"&amp;"réno"&amp;$AN$48,BC:BI,6,FALSE))),AN57)</f>
        <v>selon choix</v>
      </c>
      <c r="U54" s="213"/>
      <c r="V54" s="213"/>
      <c r="W54" s="214"/>
      <c r="X54" s="236"/>
      <c r="Y54" s="237"/>
      <c r="Z54" s="209"/>
      <c r="AA54" s="210"/>
      <c r="AB54" s="211"/>
      <c r="AC54" s="209"/>
      <c r="AD54" s="210"/>
      <c r="AE54" s="211"/>
      <c r="AF54" s="212" t="str">
        <f>IFERROR(IF($AQ$14=TRUE,VLOOKUP($M$47&amp;"tp"&amp;"neuf"&amp;$AN$48,BC:BI,7,FALSE),(VLOOKUP($M$47&amp;"tp"&amp;"réno"&amp;$AN$48,BC:BI,7,FALSE))),AN57)</f>
        <v>selon choix</v>
      </c>
      <c r="AG54" s="213"/>
      <c r="AH54" s="213"/>
      <c r="AI54" s="213"/>
      <c r="AJ54" s="214"/>
      <c r="AK54" s="4"/>
      <c r="AL54" s="4"/>
      <c r="BC54" s="43" t="str">
        <f>BD54&amp;BE54&amp;BF54&amp;BG54</f>
        <v>III = administrationmrénoz</v>
      </c>
      <c r="BD54" s="43" t="s">
        <v>43</v>
      </c>
      <c r="BE54" s="56" t="s">
        <v>8</v>
      </c>
      <c r="BF54" s="33" t="s">
        <v>24</v>
      </c>
      <c r="BG54" s="33" t="s">
        <v>381</v>
      </c>
      <c r="BH54" s="33">
        <v>0.25</v>
      </c>
      <c r="BI54" s="33">
        <v>0.28000000000000003</v>
      </c>
    </row>
    <row r="55" spans="1:82" ht="15" customHeight="1" x14ac:dyDescent="0.25">
      <c r="A55" s="4"/>
      <c r="B55" s="228" t="s">
        <v>57</v>
      </c>
      <c r="C55" s="229"/>
      <c r="D55" s="229"/>
      <c r="E55" s="229"/>
      <c r="F55" s="229"/>
      <c r="G55" s="229"/>
      <c r="H55" s="229"/>
      <c r="I55" s="229"/>
      <c r="J55" s="229"/>
      <c r="K55" s="230"/>
      <c r="L55" s="231"/>
      <c r="M55" s="272"/>
      <c r="N55" s="233"/>
      <c r="O55" s="234"/>
      <c r="P55" s="235"/>
      <c r="Q55" s="233"/>
      <c r="R55" s="234"/>
      <c r="S55" s="235"/>
      <c r="T55" s="212" t="str">
        <f>IFERROR(IF($AQ$14=TRUE,VLOOKUP($M$47&amp;"tp"&amp;"neuf"&amp;$AN$48,BC:BI,6,FALSE),(VLOOKUP($M$47&amp;"tp"&amp;"réno"&amp;$AN$48,BC:BI,6,FALSE))),AN57)</f>
        <v>selon choix</v>
      </c>
      <c r="U55" s="213"/>
      <c r="V55" s="213"/>
      <c r="W55" s="214"/>
      <c r="X55" s="236"/>
      <c r="Y55" s="237"/>
      <c r="Z55" s="209"/>
      <c r="AA55" s="210"/>
      <c r="AB55" s="211"/>
      <c r="AC55" s="209"/>
      <c r="AD55" s="210"/>
      <c r="AE55" s="211"/>
      <c r="AF55" s="212" t="str">
        <f>IFERROR(IF($AQ$14=TRUE,VLOOKUP($M$47&amp;"tp"&amp;"neuf"&amp;$AN$48,BC:BI,7,FALSE),(VLOOKUP($M$47&amp;"tp"&amp;"réno"&amp;$AN$48,BC:BI,7,FALSE))),AN57)</f>
        <v>selon choix</v>
      </c>
      <c r="AG55" s="213"/>
      <c r="AH55" s="213"/>
      <c r="AI55" s="213"/>
      <c r="AJ55" s="214"/>
      <c r="AK55" s="4"/>
      <c r="AL55" s="4"/>
      <c r="BC55" s="43" t="str">
        <f>BD55&amp;BE55&amp;BF55&amp;BG55</f>
        <v>III = administrationsrénoz</v>
      </c>
      <c r="BD55" s="43" t="s">
        <v>43</v>
      </c>
      <c r="BE55" s="56" t="s">
        <v>11</v>
      </c>
      <c r="BF55" s="33" t="s">
        <v>24</v>
      </c>
      <c r="BG55" s="33" t="s">
        <v>381</v>
      </c>
      <c r="BH55" s="33">
        <v>0.25</v>
      </c>
      <c r="BI55" s="33">
        <v>0.28000000000000003</v>
      </c>
    </row>
    <row r="56" spans="1:82" ht="15" customHeight="1" x14ac:dyDescent="0.25">
      <c r="A56" s="4"/>
      <c r="B56" s="228" t="s">
        <v>58</v>
      </c>
      <c r="C56" s="229"/>
      <c r="D56" s="229"/>
      <c r="E56" s="229"/>
      <c r="F56" s="229"/>
      <c r="G56" s="229"/>
      <c r="H56" s="229"/>
      <c r="I56" s="229"/>
      <c r="J56" s="229"/>
      <c r="K56" s="230"/>
      <c r="L56" s="231"/>
      <c r="M56" s="272"/>
      <c r="N56" s="233"/>
      <c r="O56" s="234"/>
      <c r="P56" s="235"/>
      <c r="Q56" s="233"/>
      <c r="R56" s="234"/>
      <c r="S56" s="235"/>
      <c r="T56" s="212" t="str">
        <f>IFERROR(IF($AQ$14=TRUE,VLOOKUP($M$47&amp;"m"&amp;"neuf"&amp;$AN$48,BC:BI,6,FALSE),(VLOOKUP($M$47&amp;"m"&amp;"réno"&amp;$AN$48,BC:BI,6,FALSE))),AN57)</f>
        <v>selon choix</v>
      </c>
      <c r="U56" s="213"/>
      <c r="V56" s="213"/>
      <c r="W56" s="214"/>
      <c r="X56" s="236"/>
      <c r="Y56" s="237"/>
      <c r="Z56" s="209"/>
      <c r="AA56" s="210"/>
      <c r="AB56" s="211"/>
      <c r="AC56" s="209"/>
      <c r="AD56" s="210"/>
      <c r="AE56" s="211"/>
      <c r="AF56" s="212" t="str">
        <f>IFERROR(IF($AQ$14=TRUE,VLOOKUP($M$47&amp;"m"&amp;"neuf"&amp;$AN$48,BC:BI,7,FALSE),(VLOOKUP($M$47&amp;"m"&amp;"réno"&amp;$AN$48,BC:BI,7,FALSE))),AN57)</f>
        <v>selon choix</v>
      </c>
      <c r="AG56" s="213"/>
      <c r="AH56" s="213"/>
      <c r="AI56" s="213"/>
      <c r="AJ56" s="214"/>
      <c r="AK56" s="4"/>
      <c r="AL56" s="4"/>
      <c r="AN56" s="33" t="s">
        <v>121</v>
      </c>
      <c r="BC56" s="43" t="str">
        <f t="shared" si="0"/>
        <v>III = administrationfenrénoz</v>
      </c>
      <c r="BD56" s="43" t="s">
        <v>43</v>
      </c>
      <c r="BE56" s="56" t="s">
        <v>12</v>
      </c>
      <c r="BF56" s="33" t="s">
        <v>24</v>
      </c>
      <c r="BG56" s="33" t="s">
        <v>381</v>
      </c>
      <c r="BH56" s="33" t="s">
        <v>145</v>
      </c>
      <c r="BI56" s="33" t="s">
        <v>146</v>
      </c>
    </row>
    <row r="57" spans="1:82" ht="15" customHeight="1" x14ac:dyDescent="0.25">
      <c r="A57" s="4"/>
      <c r="B57" s="228" t="s">
        <v>58</v>
      </c>
      <c r="C57" s="229"/>
      <c r="D57" s="229"/>
      <c r="E57" s="229"/>
      <c r="F57" s="229"/>
      <c r="G57" s="229"/>
      <c r="H57" s="229"/>
      <c r="I57" s="229"/>
      <c r="J57" s="229"/>
      <c r="K57" s="230"/>
      <c r="L57" s="231"/>
      <c r="M57" s="272"/>
      <c r="N57" s="233"/>
      <c r="O57" s="234"/>
      <c r="P57" s="235"/>
      <c r="Q57" s="233"/>
      <c r="R57" s="234"/>
      <c r="S57" s="235"/>
      <c r="T57" s="212" t="str">
        <f>IFERROR(IF($AQ$14=TRUE,VLOOKUP($M$47&amp;"m"&amp;"neuf"&amp;$AN$48,BC:BI,6,FALSE),(VLOOKUP($M$47&amp;"m"&amp;"réno"&amp;$AN$48,BC:BI,6,FALSE))),AN57)</f>
        <v>selon choix</v>
      </c>
      <c r="U57" s="213"/>
      <c r="V57" s="213"/>
      <c r="W57" s="214"/>
      <c r="X57" s="236"/>
      <c r="Y57" s="237"/>
      <c r="Z57" s="209"/>
      <c r="AA57" s="210"/>
      <c r="AB57" s="211"/>
      <c r="AC57" s="209"/>
      <c r="AD57" s="210"/>
      <c r="AE57" s="211"/>
      <c r="AF57" s="212" t="str">
        <f>IFERROR(IF($AQ$14=TRUE,VLOOKUP($M$47&amp;"m"&amp;"neuf"&amp;$AN$48,BC:BI,7,FALSE),(VLOOKUP($M$47&amp;"m"&amp;"réno"&amp;$AN$48,BC:BI,7,FALSE))),AN57)</f>
        <v>selon choix</v>
      </c>
      <c r="AG57" s="213"/>
      <c r="AH57" s="213"/>
      <c r="AI57" s="213"/>
      <c r="AJ57" s="214"/>
      <c r="AK57" s="4"/>
      <c r="AL57" s="4"/>
      <c r="AN57" s="33" t="s">
        <v>132</v>
      </c>
      <c r="BC57" s="43" t="str">
        <f t="shared" si="0"/>
        <v>III = administrationportesrénoz</v>
      </c>
      <c r="BD57" s="43" t="s">
        <v>43</v>
      </c>
      <c r="BE57" s="56" t="s">
        <v>15</v>
      </c>
      <c r="BF57" s="33" t="s">
        <v>24</v>
      </c>
      <c r="BG57" s="33" t="s">
        <v>381</v>
      </c>
      <c r="BH57" s="33">
        <v>1.2</v>
      </c>
      <c r="BI57" s="33">
        <v>1.5</v>
      </c>
      <c r="CD57" s="56"/>
    </row>
    <row r="58" spans="1:82" ht="15" customHeight="1" x14ac:dyDescent="0.25">
      <c r="A58" s="4"/>
      <c r="B58" s="228" t="s">
        <v>60</v>
      </c>
      <c r="C58" s="229"/>
      <c r="D58" s="229"/>
      <c r="E58" s="229"/>
      <c r="F58" s="229"/>
      <c r="G58" s="229"/>
      <c r="H58" s="229"/>
      <c r="I58" s="229"/>
      <c r="J58" s="229"/>
      <c r="K58" s="230"/>
      <c r="L58" s="231"/>
      <c r="M58" s="272"/>
      <c r="N58" s="233"/>
      <c r="O58" s="234"/>
      <c r="P58" s="235"/>
      <c r="Q58" s="233"/>
      <c r="R58" s="234"/>
      <c r="S58" s="235"/>
      <c r="T58" s="212" t="str">
        <f>IFERROR(IF($AQ$14=TRUE,VLOOKUP($M$47&amp;"s"&amp;"neuf"&amp;$AN$48,BC:BI,6,FALSE),(VLOOKUP($M$47&amp;"s"&amp;"réno"&amp;$AN$48,BC:BI,6,FALSE))),AN57)</f>
        <v>selon choix</v>
      </c>
      <c r="U58" s="213"/>
      <c r="V58" s="213"/>
      <c r="W58" s="214"/>
      <c r="X58" s="236"/>
      <c r="Y58" s="237"/>
      <c r="Z58" s="209"/>
      <c r="AA58" s="210"/>
      <c r="AB58" s="211"/>
      <c r="AC58" s="209"/>
      <c r="AD58" s="210"/>
      <c r="AE58" s="211"/>
      <c r="AF58" s="212" t="str">
        <f>IFERROR(IF($AQ$14=TRUE,VLOOKUP($M$47&amp;"s"&amp;"neuf"&amp;$AN$48,BC:BI,7,FALSE),(VLOOKUP($M$47&amp;"s"&amp;"réno"&amp;$AN$48,BC:BI,7,FALSE))),AN57)</f>
        <v>selon choix</v>
      </c>
      <c r="AG58" s="213"/>
      <c r="AH58" s="213"/>
      <c r="AI58" s="213"/>
      <c r="AJ58" s="214"/>
      <c r="AK58" s="4"/>
      <c r="AL58" s="4"/>
      <c r="BC58" s="43" t="str">
        <f t="shared" si="0"/>
        <v>III = administrationp343rénoz</v>
      </c>
      <c r="BD58" s="43" t="s">
        <v>43</v>
      </c>
      <c r="BE58" s="56" t="s">
        <v>16</v>
      </c>
      <c r="BF58" s="33" t="s">
        <v>24</v>
      </c>
      <c r="BG58" s="33" t="s">
        <v>381</v>
      </c>
      <c r="BH58" s="33">
        <v>1.7</v>
      </c>
      <c r="BI58" s="33">
        <v>2</v>
      </c>
      <c r="CD58" s="56"/>
    </row>
    <row r="59" spans="1:82" ht="15" customHeight="1" thickBot="1" x14ac:dyDescent="0.3">
      <c r="A59" s="4"/>
      <c r="B59" s="215" t="s">
        <v>60</v>
      </c>
      <c r="C59" s="216"/>
      <c r="D59" s="216"/>
      <c r="E59" s="216"/>
      <c r="F59" s="216"/>
      <c r="G59" s="216"/>
      <c r="H59" s="216"/>
      <c r="I59" s="216"/>
      <c r="J59" s="216"/>
      <c r="K59" s="217"/>
      <c r="L59" s="218"/>
      <c r="M59" s="219"/>
      <c r="N59" s="220"/>
      <c r="O59" s="221"/>
      <c r="P59" s="222"/>
      <c r="Q59" s="220"/>
      <c r="R59" s="221"/>
      <c r="S59" s="222"/>
      <c r="T59" s="170" t="str">
        <f>IFERROR(IF($AQ$14=TRUE,VLOOKUP($M$47&amp;"s"&amp;"neuf"&amp;$AN$48,BC:BI,6,FALSE),(VLOOKUP($M$47&amp;"s"&amp;"réno"&amp;$AN$48,BC:BI,6,FALSE))),AN57)</f>
        <v>selon choix</v>
      </c>
      <c r="U59" s="171"/>
      <c r="V59" s="171"/>
      <c r="W59" s="172"/>
      <c r="X59" s="223"/>
      <c r="Y59" s="224"/>
      <c r="Z59" s="225"/>
      <c r="AA59" s="226"/>
      <c r="AB59" s="227"/>
      <c r="AC59" s="225"/>
      <c r="AD59" s="226"/>
      <c r="AE59" s="227"/>
      <c r="AF59" s="170" t="str">
        <f>IFERROR(IF($AQ$14=TRUE,VLOOKUP($M$47&amp;"s"&amp;"neuf"&amp;$AN$48,BC:BI,7,FALSE),(VLOOKUP($M$47&amp;"s"&amp;"réno"&amp;$AN$48,BC:BI,7,FALSE))),AN57)</f>
        <v>selon choix</v>
      </c>
      <c r="AG59" s="171"/>
      <c r="AH59" s="171"/>
      <c r="AI59" s="171"/>
      <c r="AJ59" s="172"/>
      <c r="AK59" s="4"/>
      <c r="AL59" s="4"/>
      <c r="BC59" s="43" t="str">
        <f t="shared" si="0"/>
        <v>III = administrationstoresrénoz</v>
      </c>
      <c r="BD59" s="43" t="s">
        <v>43</v>
      </c>
      <c r="BE59" s="56" t="s">
        <v>19</v>
      </c>
      <c r="BF59" s="33" t="s">
        <v>24</v>
      </c>
      <c r="BG59" s="33" t="s">
        <v>381</v>
      </c>
      <c r="BH59" s="33">
        <v>0.5</v>
      </c>
      <c r="BI59" s="33">
        <v>0.5</v>
      </c>
      <c r="CD59" s="56"/>
    </row>
    <row r="60" spans="1:82" ht="15" customHeight="1" x14ac:dyDescent="0.25">
      <c r="A60" s="4"/>
      <c r="B60" s="259" t="s">
        <v>61</v>
      </c>
      <c r="C60" s="260"/>
      <c r="D60" s="260"/>
      <c r="E60" s="260"/>
      <c r="F60" s="260"/>
      <c r="G60" s="260"/>
      <c r="H60" s="260"/>
      <c r="I60" s="260"/>
      <c r="J60" s="260"/>
      <c r="K60" s="261"/>
      <c r="L60" s="262"/>
      <c r="M60" s="263"/>
      <c r="N60" s="264"/>
      <c r="O60" s="265"/>
      <c r="P60" s="266"/>
      <c r="Q60" s="264"/>
      <c r="R60" s="265"/>
      <c r="S60" s="266"/>
      <c r="T60" s="256" t="str">
        <f>IFERROR(IF($AQ$14=TRUE,VLOOKUP($M$47&amp;"p343"&amp;"neuf"&amp;$AN$48,BC:BI,6,FALSE),(VLOOKUP($M$47&amp;"p343"&amp;"réno"&amp;$AN$48,BC:BI,6,FALSE))),AN57)</f>
        <v>selon choix</v>
      </c>
      <c r="U60" s="257"/>
      <c r="V60" s="257"/>
      <c r="W60" s="258"/>
      <c r="X60" s="267"/>
      <c r="Y60" s="268"/>
      <c r="Z60" s="269"/>
      <c r="AA60" s="270"/>
      <c r="AB60" s="271"/>
      <c r="AC60" s="269"/>
      <c r="AD60" s="270"/>
      <c r="AE60" s="271"/>
      <c r="AF60" s="256" t="str">
        <f>IFERROR(IF($AQ$14=TRUE,VLOOKUP($M$47&amp;"p343"&amp;"neuf"&amp;$AN$48,BC:BI,7,FALSE),(VLOOKUP($M$47&amp;"p343"&amp;"réno"&amp;$AN$48,BC:BI,7,FALSE))),AN57)</f>
        <v>selon choix</v>
      </c>
      <c r="AG60" s="257"/>
      <c r="AH60" s="257"/>
      <c r="AI60" s="257"/>
      <c r="AJ60" s="258"/>
      <c r="AK60" s="4"/>
      <c r="AL60" s="4"/>
      <c r="BC60" s="43" t="str">
        <f t="shared" si="0"/>
        <v>IV = écolestpneufz</v>
      </c>
      <c r="BD60" s="43" t="s">
        <v>59</v>
      </c>
      <c r="BE60" s="56" t="s">
        <v>5</v>
      </c>
      <c r="BF60" s="33" t="s">
        <v>6</v>
      </c>
      <c r="BG60" s="33" t="s">
        <v>381</v>
      </c>
      <c r="BH60" s="33">
        <v>0.17</v>
      </c>
      <c r="BI60" s="33">
        <v>0.25</v>
      </c>
      <c r="CD60" s="56"/>
    </row>
    <row r="61" spans="1:82" ht="15" customHeight="1" thickBot="1" x14ac:dyDescent="0.3">
      <c r="A61" s="4"/>
      <c r="B61" s="215" t="s">
        <v>62</v>
      </c>
      <c r="C61" s="216"/>
      <c r="D61" s="216"/>
      <c r="E61" s="216"/>
      <c r="F61" s="216"/>
      <c r="G61" s="216"/>
      <c r="H61" s="216"/>
      <c r="I61" s="216"/>
      <c r="J61" s="216"/>
      <c r="K61" s="217"/>
      <c r="L61" s="218"/>
      <c r="M61" s="219"/>
      <c r="N61" s="220"/>
      <c r="O61" s="221"/>
      <c r="P61" s="222"/>
      <c r="Q61" s="220"/>
      <c r="R61" s="221"/>
      <c r="S61" s="222"/>
      <c r="T61" s="170" t="str">
        <f>IFERROR(IF($AQ$14=TRUE,VLOOKUP($M$47&amp;"stores"&amp;"neuf"&amp;$AN$48,BC:BI,6,FALSE),(VLOOKUP($M$47&amp;"stores"&amp;"réno"&amp;$AN$48,BC:BI,6,FALSE))),AN57)</f>
        <v>selon choix</v>
      </c>
      <c r="U61" s="171"/>
      <c r="V61" s="171"/>
      <c r="W61" s="172"/>
      <c r="X61" s="223"/>
      <c r="Y61" s="224"/>
      <c r="Z61" s="225"/>
      <c r="AA61" s="226"/>
      <c r="AB61" s="227"/>
      <c r="AC61" s="225"/>
      <c r="AD61" s="226"/>
      <c r="AE61" s="227"/>
      <c r="AF61" s="170" t="str">
        <f>IFERROR(IF($AQ$14=TRUE,VLOOKUP($M$47&amp;"stores"&amp;"neuf"&amp;$AN$48,BC:BI,7,FALSE),(VLOOKUP($M$47&amp;"stores"&amp;"réno"&amp;$AN$48,BC:BI,7,FALSE))),AN57)</f>
        <v>selon choix</v>
      </c>
      <c r="AG61" s="171"/>
      <c r="AH61" s="171"/>
      <c r="AI61" s="171"/>
      <c r="AJ61" s="172"/>
      <c r="AK61" s="4"/>
      <c r="AL61" s="4"/>
      <c r="BC61" s="43" t="str">
        <f>BD61&amp;BE61&amp;BF61&amp;BG61</f>
        <v>IV = écolesmneufz</v>
      </c>
      <c r="BD61" s="43" t="s">
        <v>59</v>
      </c>
      <c r="BE61" s="56" t="s">
        <v>8</v>
      </c>
      <c r="BF61" s="33" t="s">
        <v>6</v>
      </c>
      <c r="BG61" s="33" t="s">
        <v>381</v>
      </c>
      <c r="BH61" s="33">
        <v>0.17</v>
      </c>
      <c r="BI61" s="33">
        <v>0.25</v>
      </c>
      <c r="CD61" s="56"/>
    </row>
    <row r="62" spans="1:82" ht="15" customHeight="1" x14ac:dyDescent="0.25">
      <c r="A62" s="4"/>
      <c r="B62" s="244"/>
      <c r="C62" s="245"/>
      <c r="D62" s="245"/>
      <c r="E62" s="245"/>
      <c r="F62" s="245"/>
      <c r="G62" s="245"/>
      <c r="H62" s="245"/>
      <c r="I62" s="245"/>
      <c r="J62" s="245"/>
      <c r="K62" s="246"/>
      <c r="L62" s="250" t="s">
        <v>51</v>
      </c>
      <c r="M62" s="251"/>
      <c r="N62" s="250" t="s">
        <v>63</v>
      </c>
      <c r="O62" s="251"/>
      <c r="P62" s="252"/>
      <c r="Q62" s="250" t="s">
        <v>64</v>
      </c>
      <c r="R62" s="251"/>
      <c r="S62" s="252"/>
      <c r="T62" s="253" t="s">
        <v>54</v>
      </c>
      <c r="U62" s="254"/>
      <c r="V62" s="254"/>
      <c r="W62" s="255"/>
      <c r="X62" s="238" t="s">
        <v>51</v>
      </c>
      <c r="Y62" s="239"/>
      <c r="Z62" s="253" t="s">
        <v>63</v>
      </c>
      <c r="AA62" s="254"/>
      <c r="AB62" s="255"/>
      <c r="AC62" s="253" t="s">
        <v>64</v>
      </c>
      <c r="AD62" s="254"/>
      <c r="AE62" s="255"/>
      <c r="AF62" s="238" t="s">
        <v>54</v>
      </c>
      <c r="AG62" s="239"/>
      <c r="AH62" s="239"/>
      <c r="AI62" s="239"/>
      <c r="AJ62" s="240"/>
      <c r="AK62" s="4"/>
      <c r="AL62" s="4"/>
      <c r="BC62" s="43" t="str">
        <f>BD62&amp;BE62&amp;BF62&amp;BG62</f>
        <v>IV = écolessneufz</v>
      </c>
      <c r="BD62" s="43" t="s">
        <v>59</v>
      </c>
      <c r="BE62" s="56" t="s">
        <v>11</v>
      </c>
      <c r="BF62" s="33" t="s">
        <v>6</v>
      </c>
      <c r="BG62" s="33" t="s">
        <v>381</v>
      </c>
      <c r="BH62" s="33">
        <v>0.17</v>
      </c>
      <c r="BI62" s="33">
        <v>0.25</v>
      </c>
      <c r="BR62" s="43"/>
      <c r="CC62" s="58"/>
      <c r="CD62" s="56"/>
    </row>
    <row r="63" spans="1:82" ht="15" customHeight="1" x14ac:dyDescent="0.25">
      <c r="A63" s="4"/>
      <c r="B63" s="247"/>
      <c r="C63" s="248"/>
      <c r="D63" s="248"/>
      <c r="E63" s="248"/>
      <c r="F63" s="248"/>
      <c r="G63" s="248"/>
      <c r="H63" s="248"/>
      <c r="I63" s="248"/>
      <c r="J63" s="248"/>
      <c r="K63" s="249"/>
      <c r="L63" s="179"/>
      <c r="M63" s="180"/>
      <c r="N63" s="179" t="s">
        <v>56</v>
      </c>
      <c r="O63" s="180"/>
      <c r="P63" s="181"/>
      <c r="Q63" s="179" t="s">
        <v>56</v>
      </c>
      <c r="R63" s="180"/>
      <c r="S63" s="181"/>
      <c r="T63" s="241" t="s">
        <v>56</v>
      </c>
      <c r="U63" s="242"/>
      <c r="V63" s="242"/>
      <c r="W63" s="243"/>
      <c r="X63" s="241"/>
      <c r="Y63" s="242"/>
      <c r="Z63" s="241" t="s">
        <v>56</v>
      </c>
      <c r="AA63" s="242"/>
      <c r="AB63" s="243"/>
      <c r="AC63" s="241" t="s">
        <v>56</v>
      </c>
      <c r="AD63" s="242"/>
      <c r="AE63" s="243"/>
      <c r="AF63" s="241" t="s">
        <v>56</v>
      </c>
      <c r="AG63" s="242"/>
      <c r="AH63" s="242"/>
      <c r="AI63" s="242"/>
      <c r="AJ63" s="243"/>
      <c r="AK63" s="4"/>
      <c r="AL63" s="4"/>
      <c r="BC63" s="43" t="str">
        <f t="shared" si="0"/>
        <v>IV = écolesfenneufz</v>
      </c>
      <c r="BD63" s="43" t="s">
        <v>59</v>
      </c>
      <c r="BE63" s="56" t="s">
        <v>12</v>
      </c>
      <c r="BF63" s="33" t="s">
        <v>6</v>
      </c>
      <c r="BG63" s="33" t="s">
        <v>381</v>
      </c>
      <c r="BH63" s="33" t="s">
        <v>145</v>
      </c>
      <c r="BI63" s="33" t="s">
        <v>146</v>
      </c>
      <c r="BR63" s="43"/>
      <c r="CC63" s="58"/>
      <c r="CD63" s="56"/>
    </row>
    <row r="64" spans="1:82" ht="15" customHeight="1" x14ac:dyDescent="0.25">
      <c r="A64" s="4"/>
      <c r="B64" s="228" t="s">
        <v>65</v>
      </c>
      <c r="C64" s="229"/>
      <c r="D64" s="229"/>
      <c r="E64" s="229"/>
      <c r="F64" s="229"/>
      <c r="G64" s="229"/>
      <c r="H64" s="229"/>
      <c r="I64" s="229"/>
      <c r="J64" s="229"/>
      <c r="K64" s="230"/>
      <c r="L64" s="231"/>
      <c r="M64" s="232"/>
      <c r="N64" s="233"/>
      <c r="O64" s="234"/>
      <c r="P64" s="234"/>
      <c r="Q64" s="233"/>
      <c r="R64" s="234"/>
      <c r="S64" s="235"/>
      <c r="T64" s="212" t="str">
        <f>IFERROR(IF($AQ$14=TRUE,VLOOKUP($M$47&amp;"fen"&amp;"neuf"&amp;$AN$48,BC:BI,6,FALSE),(VLOOKUP($M$47&amp;"fen"&amp;"réno"&amp;$AN$48,BC:BI,6,FALSE))),AN57)</f>
        <v>selon choix</v>
      </c>
      <c r="U64" s="213"/>
      <c r="V64" s="213"/>
      <c r="W64" s="214"/>
      <c r="X64" s="236"/>
      <c r="Y64" s="237"/>
      <c r="Z64" s="209"/>
      <c r="AA64" s="210"/>
      <c r="AB64" s="211"/>
      <c r="AC64" s="209"/>
      <c r="AD64" s="210"/>
      <c r="AE64" s="211"/>
      <c r="AF64" s="212" t="str">
        <f>IFERROR(IF($AQ$14=TRUE,VLOOKUP($M$47&amp;"fen"&amp;"neuf"&amp;$AN$48,BC:BI,7,FALSE),(VLOOKUP($M$47&amp;"fen"&amp;"réno"&amp;$AN$48,BC:BI,7,FALSE))),AN57)</f>
        <v>selon choix</v>
      </c>
      <c r="AG64" s="213"/>
      <c r="AH64" s="213"/>
      <c r="AI64" s="213"/>
      <c r="AJ64" s="214"/>
      <c r="AK64" s="4"/>
      <c r="AL64" s="4"/>
      <c r="BC64" s="43" t="str">
        <f t="shared" si="0"/>
        <v>IV = écolesportesneufz</v>
      </c>
      <c r="BD64" s="43" t="s">
        <v>59</v>
      </c>
      <c r="BE64" s="56" t="s">
        <v>15</v>
      </c>
      <c r="BF64" s="33" t="s">
        <v>6</v>
      </c>
      <c r="BG64" s="33" t="s">
        <v>381</v>
      </c>
      <c r="BH64" s="33">
        <v>1.2</v>
      </c>
      <c r="BI64" s="33">
        <v>1.5</v>
      </c>
      <c r="BR64" s="43"/>
      <c r="CD64" s="56"/>
    </row>
    <row r="65" spans="1:82" ht="15" customHeight="1" x14ac:dyDescent="0.25">
      <c r="A65" s="4"/>
      <c r="B65" s="228" t="s">
        <v>66</v>
      </c>
      <c r="C65" s="229"/>
      <c r="D65" s="229"/>
      <c r="E65" s="229"/>
      <c r="F65" s="229"/>
      <c r="G65" s="229"/>
      <c r="H65" s="229"/>
      <c r="I65" s="229"/>
      <c r="J65" s="229"/>
      <c r="K65" s="230"/>
      <c r="L65" s="231"/>
      <c r="M65" s="232"/>
      <c r="N65" s="233"/>
      <c r="O65" s="234"/>
      <c r="P65" s="234"/>
      <c r="Q65" s="233"/>
      <c r="R65" s="234"/>
      <c r="S65" s="235"/>
      <c r="T65" s="212" t="str">
        <f>IFERROR(IF($AQ$14=TRUE,VLOOKUP($M$47&amp;"portes"&amp;"neuf"&amp;$AN$48,BC:BI,6,FALSE),(VLOOKUP($M$47&amp;"portes"&amp;"réno"&amp;$AN$48,BC:BI,6,FALSE))),AN57)</f>
        <v>selon choix</v>
      </c>
      <c r="U65" s="213"/>
      <c r="V65" s="213"/>
      <c r="W65" s="214"/>
      <c r="X65" s="236"/>
      <c r="Y65" s="237"/>
      <c r="Z65" s="209"/>
      <c r="AA65" s="210"/>
      <c r="AB65" s="211"/>
      <c r="AC65" s="209"/>
      <c r="AD65" s="210"/>
      <c r="AE65" s="211"/>
      <c r="AF65" s="212" t="str">
        <f>IFERROR(IF($AQ$14=TRUE,VLOOKUP($M$47&amp;"portes"&amp;"neuf"&amp;$AN$48,BC:BI,7,FALSE),(VLOOKUP($M$47&amp;"portes"&amp;"réno"&amp;$AN$48,BC:BI,7,FALSE))),AN57)</f>
        <v>selon choix</v>
      </c>
      <c r="AG65" s="213"/>
      <c r="AH65" s="213"/>
      <c r="AI65" s="213"/>
      <c r="AJ65" s="214"/>
      <c r="AK65" s="4"/>
      <c r="AL65" s="4"/>
      <c r="BC65" s="43" t="str">
        <f t="shared" si="0"/>
        <v>IV = écolesp343neufz</v>
      </c>
      <c r="BD65" s="43" t="s">
        <v>59</v>
      </c>
      <c r="BE65" s="56" t="s">
        <v>16</v>
      </c>
      <c r="BF65" s="33" t="s">
        <v>6</v>
      </c>
      <c r="BG65" s="33" t="s">
        <v>381</v>
      </c>
      <c r="BH65" s="33">
        <v>1.7</v>
      </c>
      <c r="BI65" s="33">
        <v>2</v>
      </c>
      <c r="BR65" s="43"/>
      <c r="CC65" s="58"/>
      <c r="CD65" s="56"/>
    </row>
    <row r="66" spans="1:82" ht="39.950000000000003" customHeight="1" thickBot="1" x14ac:dyDescent="0.3">
      <c r="A66" s="4"/>
      <c r="B66" s="215" t="s">
        <v>67</v>
      </c>
      <c r="C66" s="216"/>
      <c r="D66" s="216"/>
      <c r="E66" s="216"/>
      <c r="F66" s="216"/>
      <c r="G66" s="216"/>
      <c r="H66" s="216"/>
      <c r="I66" s="216"/>
      <c r="J66" s="216"/>
      <c r="K66" s="217"/>
      <c r="L66" s="218"/>
      <c r="M66" s="219"/>
      <c r="N66" s="220"/>
      <c r="O66" s="221"/>
      <c r="P66" s="222"/>
      <c r="Q66" s="220"/>
      <c r="R66" s="221"/>
      <c r="S66" s="222"/>
      <c r="T66" s="170" t="str">
        <f>IFERROR(IF($AQ$14=TRUE,VLOOKUP($M$47&amp;"fen"&amp;"neuf"&amp;$AN$48,BC:BI,6,FALSE),(VLOOKUP($M$47&amp;"fen"&amp;"réno"&amp;$AN$48,BC:BI,6,FALSE))),AN57)</f>
        <v>selon choix</v>
      </c>
      <c r="U66" s="171"/>
      <c r="V66" s="171"/>
      <c r="W66" s="172"/>
      <c r="X66" s="223"/>
      <c r="Y66" s="224"/>
      <c r="Z66" s="225"/>
      <c r="AA66" s="226"/>
      <c r="AB66" s="227"/>
      <c r="AC66" s="225"/>
      <c r="AD66" s="226"/>
      <c r="AE66" s="227"/>
      <c r="AF66" s="170" t="str">
        <f>IFERROR(IF($AQ$14=TRUE,VLOOKUP($M$47&amp;"fen"&amp;"neuf"&amp;$AN$48,BC:BI,7,FALSE),(VLOOKUP($M$47&amp;"fen"&amp;"réno"&amp;$AN$48,BC:BI,7,FALSE))),AN57)</f>
        <v>selon choix</v>
      </c>
      <c r="AG66" s="171"/>
      <c r="AH66" s="171"/>
      <c r="AI66" s="171"/>
      <c r="AJ66" s="172"/>
      <c r="AK66" s="4"/>
      <c r="AL66" s="4"/>
      <c r="BC66" s="43" t="str">
        <f t="shared" si="0"/>
        <v>IV = écolesstoresneufz</v>
      </c>
      <c r="BD66" s="43" t="s">
        <v>59</v>
      </c>
      <c r="BE66" s="56" t="s">
        <v>19</v>
      </c>
      <c r="BF66" s="33" t="s">
        <v>6</v>
      </c>
      <c r="BG66" s="33" t="s">
        <v>381</v>
      </c>
      <c r="BH66" s="33">
        <v>0.5</v>
      </c>
      <c r="BI66" s="33">
        <v>0.5</v>
      </c>
      <c r="CD66" s="56"/>
    </row>
    <row r="67" spans="1:82" ht="17.4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BC67" s="43" t="str">
        <f t="shared" si="0"/>
        <v>IV = écolestprénoz</v>
      </c>
      <c r="BD67" s="43" t="s">
        <v>59</v>
      </c>
      <c r="BE67" s="56" t="s">
        <v>5</v>
      </c>
      <c r="BF67" s="33" t="s">
        <v>24</v>
      </c>
      <c r="BG67" s="33" t="s">
        <v>381</v>
      </c>
      <c r="BH67" s="33">
        <v>0.25</v>
      </c>
      <c r="BI67" s="33">
        <v>0.28000000000000003</v>
      </c>
      <c r="CD67" s="56"/>
    </row>
    <row r="68" spans="1:82" ht="17.45" customHeight="1" x14ac:dyDescent="0.25">
      <c r="A68" s="4"/>
      <c r="B68" s="173"/>
      <c r="C68" s="174"/>
      <c r="D68" s="174"/>
      <c r="E68" s="174"/>
      <c r="F68" s="175"/>
      <c r="G68" s="182" t="s">
        <v>0</v>
      </c>
      <c r="H68" s="183"/>
      <c r="I68" s="183"/>
      <c r="J68" s="183"/>
      <c r="K68" s="183"/>
      <c r="L68" s="183"/>
      <c r="M68" s="183"/>
      <c r="N68" s="183"/>
      <c r="O68" s="184"/>
      <c r="P68" s="191" t="s">
        <v>1</v>
      </c>
      <c r="Q68" s="192"/>
      <c r="R68" s="192"/>
      <c r="S68" s="192"/>
      <c r="T68" s="192"/>
      <c r="U68" s="192"/>
      <c r="V68" s="192"/>
      <c r="W68" s="192"/>
      <c r="X68" s="193"/>
      <c r="Y68" s="200" t="s">
        <v>174</v>
      </c>
      <c r="Z68" s="201"/>
      <c r="AA68" s="201"/>
      <c r="AB68" s="201"/>
      <c r="AC68" s="201"/>
      <c r="AD68" s="201"/>
      <c r="AE68" s="201"/>
      <c r="AF68" s="201"/>
      <c r="AG68" s="201"/>
      <c r="AH68" s="201"/>
      <c r="AI68" s="201"/>
      <c r="AJ68" s="201"/>
      <c r="AK68" s="202"/>
      <c r="AL68" s="4"/>
      <c r="BC68" s="43" t="str">
        <f>BD68&amp;BE68&amp;BF68&amp;BG68</f>
        <v>IV = écolesmrénoz</v>
      </c>
      <c r="BD68" s="43" t="s">
        <v>59</v>
      </c>
      <c r="BE68" s="56" t="s">
        <v>8</v>
      </c>
      <c r="BF68" s="33" t="s">
        <v>24</v>
      </c>
      <c r="BG68" s="33" t="s">
        <v>381</v>
      </c>
      <c r="BH68" s="33">
        <v>0.25</v>
      </c>
      <c r="BI68" s="33">
        <v>0.28000000000000003</v>
      </c>
    </row>
    <row r="69" spans="1:82" ht="17.45" customHeight="1" x14ac:dyDescent="0.25">
      <c r="A69" s="4"/>
      <c r="B69" s="176"/>
      <c r="C69" s="177"/>
      <c r="D69" s="177"/>
      <c r="E69" s="177"/>
      <c r="F69" s="178"/>
      <c r="G69" s="185"/>
      <c r="H69" s="186"/>
      <c r="I69" s="186"/>
      <c r="J69" s="186"/>
      <c r="K69" s="186"/>
      <c r="L69" s="186"/>
      <c r="M69" s="186"/>
      <c r="N69" s="186"/>
      <c r="O69" s="187"/>
      <c r="P69" s="194"/>
      <c r="Q69" s="195"/>
      <c r="R69" s="195"/>
      <c r="S69" s="195"/>
      <c r="T69" s="195"/>
      <c r="U69" s="195"/>
      <c r="V69" s="195"/>
      <c r="W69" s="195"/>
      <c r="X69" s="196"/>
      <c r="Y69" s="203"/>
      <c r="Z69" s="204"/>
      <c r="AA69" s="204"/>
      <c r="AB69" s="204"/>
      <c r="AC69" s="204"/>
      <c r="AD69" s="204"/>
      <c r="AE69" s="204"/>
      <c r="AF69" s="204"/>
      <c r="AG69" s="204"/>
      <c r="AH69" s="204"/>
      <c r="AI69" s="204"/>
      <c r="AJ69" s="204"/>
      <c r="AK69" s="205"/>
      <c r="AL69" s="4"/>
      <c r="BC69" s="43" t="str">
        <f>BD69&amp;BE69&amp;BF69&amp;BG69</f>
        <v>IV = écolessrénoz</v>
      </c>
      <c r="BD69" s="43" t="s">
        <v>59</v>
      </c>
      <c r="BE69" s="56" t="s">
        <v>11</v>
      </c>
      <c r="BF69" s="33" t="s">
        <v>24</v>
      </c>
      <c r="BG69" s="33" t="s">
        <v>381</v>
      </c>
      <c r="BH69" s="33">
        <v>0.25</v>
      </c>
      <c r="BI69" s="33">
        <v>0.28000000000000003</v>
      </c>
    </row>
    <row r="70" spans="1:82" ht="17.45" customHeight="1" x14ac:dyDescent="0.25">
      <c r="A70" s="4"/>
      <c r="B70" s="176"/>
      <c r="C70" s="177"/>
      <c r="D70" s="177"/>
      <c r="E70" s="177"/>
      <c r="F70" s="178"/>
      <c r="G70" s="185"/>
      <c r="H70" s="186"/>
      <c r="I70" s="186"/>
      <c r="J70" s="186"/>
      <c r="K70" s="186"/>
      <c r="L70" s="186"/>
      <c r="M70" s="186"/>
      <c r="N70" s="186"/>
      <c r="O70" s="187"/>
      <c r="P70" s="194"/>
      <c r="Q70" s="195"/>
      <c r="R70" s="195"/>
      <c r="S70" s="195"/>
      <c r="T70" s="195"/>
      <c r="U70" s="195"/>
      <c r="V70" s="195"/>
      <c r="W70" s="195"/>
      <c r="X70" s="196"/>
      <c r="Y70" s="203"/>
      <c r="Z70" s="204"/>
      <c r="AA70" s="204"/>
      <c r="AB70" s="204"/>
      <c r="AC70" s="204"/>
      <c r="AD70" s="204"/>
      <c r="AE70" s="204"/>
      <c r="AF70" s="204"/>
      <c r="AG70" s="204"/>
      <c r="AH70" s="204"/>
      <c r="AI70" s="204"/>
      <c r="AJ70" s="204"/>
      <c r="AK70" s="205"/>
      <c r="AL70" s="4"/>
      <c r="BC70" s="43" t="str">
        <f t="shared" si="0"/>
        <v>IV = écolesfenrénoz</v>
      </c>
      <c r="BD70" s="43" t="s">
        <v>59</v>
      </c>
      <c r="BE70" s="56" t="s">
        <v>12</v>
      </c>
      <c r="BF70" s="33" t="s">
        <v>24</v>
      </c>
      <c r="BG70" s="33" t="s">
        <v>381</v>
      </c>
      <c r="BH70" s="33" t="s">
        <v>145</v>
      </c>
      <c r="BI70" s="33" t="s">
        <v>146</v>
      </c>
    </row>
    <row r="71" spans="1:82" ht="20.100000000000001" customHeight="1" x14ac:dyDescent="0.25">
      <c r="A71" s="4"/>
      <c r="B71" s="179"/>
      <c r="C71" s="180"/>
      <c r="D71" s="180"/>
      <c r="E71" s="180"/>
      <c r="F71" s="181"/>
      <c r="G71" s="188"/>
      <c r="H71" s="189"/>
      <c r="I71" s="189"/>
      <c r="J71" s="189"/>
      <c r="K71" s="189"/>
      <c r="L71" s="189"/>
      <c r="M71" s="189"/>
      <c r="N71" s="189"/>
      <c r="O71" s="190"/>
      <c r="P71" s="197"/>
      <c r="Q71" s="198"/>
      <c r="R71" s="198"/>
      <c r="S71" s="198"/>
      <c r="T71" s="198"/>
      <c r="U71" s="198"/>
      <c r="V71" s="198"/>
      <c r="W71" s="198"/>
      <c r="X71" s="199"/>
      <c r="Y71" s="206"/>
      <c r="Z71" s="207"/>
      <c r="AA71" s="207"/>
      <c r="AB71" s="207"/>
      <c r="AC71" s="207"/>
      <c r="AD71" s="207"/>
      <c r="AE71" s="207"/>
      <c r="AF71" s="207"/>
      <c r="AG71" s="207"/>
      <c r="AH71" s="207"/>
      <c r="AI71" s="207"/>
      <c r="AJ71" s="207"/>
      <c r="AK71" s="208"/>
      <c r="AL71" s="4"/>
      <c r="BC71" s="43" t="str">
        <f t="shared" si="0"/>
        <v>IV = écolesportesrénoz</v>
      </c>
      <c r="BD71" s="43" t="s">
        <v>59</v>
      </c>
      <c r="BE71" s="56" t="s">
        <v>15</v>
      </c>
      <c r="BF71" s="33" t="s">
        <v>24</v>
      </c>
      <c r="BG71" s="33" t="s">
        <v>381</v>
      </c>
      <c r="BH71" s="33">
        <v>1.2</v>
      </c>
      <c r="BI71" s="33">
        <v>1.5</v>
      </c>
    </row>
    <row r="72" spans="1:82" ht="20.100000000000001" customHeight="1" thickBot="1" x14ac:dyDescent="0.3">
      <c r="A72" s="4"/>
      <c r="B72" s="17"/>
      <c r="C72" s="17"/>
      <c r="D72" s="18"/>
      <c r="E72" s="18"/>
      <c r="F72" s="18"/>
      <c r="G72" s="18"/>
      <c r="H72" s="18"/>
      <c r="I72" s="18"/>
      <c r="J72" s="18"/>
      <c r="K72" s="18"/>
      <c r="L72" s="18"/>
      <c r="M72" s="18"/>
      <c r="N72" s="19"/>
      <c r="O72" s="19"/>
      <c r="P72" s="19"/>
      <c r="Q72" s="19"/>
      <c r="R72" s="19"/>
      <c r="S72" s="19"/>
      <c r="T72" s="19"/>
      <c r="U72" s="19"/>
      <c r="V72" s="20"/>
      <c r="W72" s="20"/>
      <c r="X72" s="20"/>
      <c r="Y72" s="20"/>
      <c r="Z72" s="20"/>
      <c r="AA72" s="20"/>
      <c r="AB72" s="20"/>
      <c r="AC72" s="20"/>
      <c r="AD72" s="20"/>
      <c r="AE72" s="20"/>
      <c r="AF72" s="20"/>
      <c r="AG72" s="20"/>
      <c r="AH72" s="20"/>
      <c r="AI72" s="20"/>
      <c r="AJ72" s="20"/>
      <c r="AK72" s="20"/>
      <c r="AL72" s="4"/>
      <c r="BC72" s="43" t="str">
        <f t="shared" si="0"/>
        <v>IV = écolesp343rénoz</v>
      </c>
      <c r="BD72" s="43" t="s">
        <v>59</v>
      </c>
      <c r="BE72" s="56" t="s">
        <v>16</v>
      </c>
      <c r="BF72" s="33" t="s">
        <v>24</v>
      </c>
      <c r="BG72" s="33" t="s">
        <v>381</v>
      </c>
      <c r="BH72" s="33">
        <v>1.7</v>
      </c>
      <c r="BI72" s="33">
        <v>2</v>
      </c>
    </row>
    <row r="73" spans="1:82" ht="22.5" customHeight="1" x14ac:dyDescent="0.25">
      <c r="A73" s="4"/>
      <c r="B73" s="21" t="s">
        <v>69</v>
      </c>
      <c r="C73" s="21"/>
      <c r="D73" s="21"/>
      <c r="E73" s="21"/>
      <c r="F73" s="21"/>
      <c r="G73" s="21"/>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BC73" s="43" t="str">
        <f t="shared" si="0"/>
        <v>IV = écolesstoresrénoz</v>
      </c>
      <c r="BD73" s="43" t="s">
        <v>59</v>
      </c>
      <c r="BE73" s="56" t="s">
        <v>19</v>
      </c>
      <c r="BF73" s="33" t="s">
        <v>24</v>
      </c>
      <c r="BG73" s="33" t="s">
        <v>381</v>
      </c>
      <c r="BH73" s="33">
        <v>0.5</v>
      </c>
      <c r="BI73" s="33">
        <v>0.5</v>
      </c>
    </row>
    <row r="74" spans="1:82" ht="22.5" customHeight="1" x14ac:dyDescent="0.25">
      <c r="A74" s="4"/>
      <c r="B74" s="4" t="s">
        <v>150</v>
      </c>
      <c r="C74" s="4"/>
      <c r="D74" s="4"/>
      <c r="E74" s="4"/>
      <c r="F74" s="4"/>
      <c r="H74" s="4"/>
      <c r="I74" s="4"/>
      <c r="K74" s="4"/>
      <c r="L74" s="4"/>
      <c r="M74" s="4"/>
      <c r="N74" s="4"/>
      <c r="O74" s="4"/>
      <c r="P74" s="4"/>
      <c r="Q74" s="4"/>
      <c r="R74" s="36"/>
      <c r="S74" s="36"/>
      <c r="T74" s="36"/>
      <c r="U74" s="36"/>
      <c r="V74" s="36"/>
      <c r="W74" s="35" t="str">
        <f>IF(AN74=2,"Performance globale nécessaire, fournir EN-VS-102b","")</f>
        <v/>
      </c>
      <c r="X74" s="4"/>
      <c r="Y74" s="4"/>
      <c r="Z74" s="4"/>
      <c r="AA74" s="4"/>
      <c r="AB74" s="4"/>
      <c r="AC74" s="4"/>
      <c r="AD74" s="4"/>
      <c r="AE74" s="4"/>
      <c r="AF74" s="4"/>
      <c r="AG74" s="4"/>
      <c r="AH74" s="4"/>
      <c r="AI74" s="4"/>
      <c r="AJ74" s="4"/>
      <c r="AK74" s="4"/>
      <c r="AL74" s="4"/>
      <c r="AN74" s="33">
        <v>0</v>
      </c>
      <c r="BC74" s="43" t="str">
        <f t="shared" si="0"/>
        <v>V = commercetpneufz</v>
      </c>
      <c r="BD74" s="43" t="s">
        <v>68</v>
      </c>
      <c r="BE74" s="56" t="s">
        <v>5</v>
      </c>
      <c r="BF74" s="33" t="s">
        <v>6</v>
      </c>
      <c r="BG74" s="33" t="s">
        <v>381</v>
      </c>
      <c r="BH74" s="33">
        <v>0.17</v>
      </c>
      <c r="BI74" s="33">
        <v>0.25</v>
      </c>
    </row>
    <row r="75" spans="1:82" ht="22.5" customHeight="1" x14ac:dyDescent="0.25">
      <c r="A75" s="4"/>
      <c r="B75" s="4" t="s">
        <v>151</v>
      </c>
      <c r="C75" s="4"/>
      <c r="D75" s="4"/>
      <c r="E75" s="4"/>
      <c r="F75" s="4"/>
      <c r="G75" s="4"/>
      <c r="H75" s="4"/>
      <c r="I75" s="4"/>
      <c r="J75" s="4"/>
      <c r="K75" s="4"/>
      <c r="L75" s="4"/>
      <c r="M75" s="4"/>
      <c r="N75" s="4"/>
      <c r="O75" s="4"/>
      <c r="P75" s="4"/>
      <c r="Q75" s="4"/>
      <c r="R75" s="36"/>
      <c r="S75" s="36"/>
      <c r="T75" s="36"/>
      <c r="U75" s="36"/>
      <c r="V75" s="36"/>
      <c r="W75" s="35" t="str">
        <f>IF(AN75=2,"Performance globale nécessaire, fournir EN-VS-102b","")</f>
        <v/>
      </c>
      <c r="X75" s="4"/>
      <c r="Y75" s="4"/>
      <c r="Z75" s="4"/>
      <c r="AA75" s="4"/>
      <c r="AB75" s="4"/>
      <c r="AC75" s="4"/>
      <c r="AD75" s="4"/>
      <c r="AE75" s="4"/>
      <c r="AF75" s="4"/>
      <c r="AG75" s="4"/>
      <c r="AH75" s="4"/>
      <c r="AI75" s="4"/>
      <c r="AJ75" s="4"/>
      <c r="AK75" s="4"/>
      <c r="AL75" s="4"/>
      <c r="AN75" s="33">
        <v>0</v>
      </c>
      <c r="BC75" s="43" t="str">
        <f>BD75&amp;BE75&amp;BF75&amp;BG75</f>
        <v>V = commercemneufz</v>
      </c>
      <c r="BD75" s="43" t="s">
        <v>68</v>
      </c>
      <c r="BE75" s="56" t="s">
        <v>8</v>
      </c>
      <c r="BF75" s="33" t="s">
        <v>6</v>
      </c>
      <c r="BG75" s="33" t="s">
        <v>381</v>
      </c>
      <c r="BH75" s="33">
        <v>0.17</v>
      </c>
      <c r="BI75" s="33">
        <v>0.25</v>
      </c>
    </row>
    <row r="76" spans="1:82" ht="17.45" customHeight="1" x14ac:dyDescent="0.25">
      <c r="A76" s="4"/>
      <c r="B76" s="4" t="s">
        <v>152</v>
      </c>
      <c r="C76" s="4"/>
      <c r="D76" s="4"/>
      <c r="E76" s="4"/>
      <c r="F76" s="4"/>
      <c r="G76" s="4"/>
      <c r="H76" s="4"/>
      <c r="I76" s="4"/>
      <c r="K76" s="4"/>
      <c r="L76" s="4"/>
      <c r="M76" s="4"/>
      <c r="O76" s="4"/>
      <c r="P76" s="4"/>
      <c r="Q76" s="4"/>
      <c r="R76" s="36"/>
      <c r="S76" s="36"/>
      <c r="T76" s="36"/>
      <c r="U76" s="36"/>
      <c r="V76" s="36"/>
      <c r="W76" s="4"/>
      <c r="X76" s="4"/>
      <c r="Y76" s="4"/>
      <c r="Z76" s="4"/>
      <c r="AA76" s="4"/>
      <c r="AB76" s="4"/>
      <c r="AC76" s="4"/>
      <c r="AD76" s="4"/>
      <c r="AE76" s="4"/>
      <c r="AF76" s="4"/>
      <c r="AG76" s="4"/>
      <c r="AH76" s="4"/>
      <c r="AI76" s="4"/>
      <c r="AJ76" s="4"/>
      <c r="AK76" s="4"/>
      <c r="AL76" s="4"/>
      <c r="AN76" s="33">
        <v>0</v>
      </c>
      <c r="BC76" s="43" t="str">
        <f>BD76&amp;BE76&amp;BF76&amp;BG76</f>
        <v>V = commercesneufz</v>
      </c>
      <c r="BD76" s="43" t="s">
        <v>68</v>
      </c>
      <c r="BE76" s="56" t="s">
        <v>11</v>
      </c>
      <c r="BF76" s="33" t="s">
        <v>6</v>
      </c>
      <c r="BG76" s="33" t="s">
        <v>381</v>
      </c>
      <c r="BH76" s="33">
        <v>0.17</v>
      </c>
      <c r="BI76" s="33">
        <v>0.25</v>
      </c>
    </row>
    <row r="77" spans="1:82" x14ac:dyDescent="0.25">
      <c r="A77" s="4"/>
      <c r="B77" s="147" t="s">
        <v>153</v>
      </c>
      <c r="C77" s="147"/>
      <c r="D77" s="147"/>
      <c r="E77" s="147"/>
      <c r="F77" s="147"/>
      <c r="G77" s="147"/>
      <c r="H77" s="147"/>
      <c r="I77" s="147"/>
      <c r="J77" s="147"/>
      <c r="K77" s="147"/>
      <c r="L77" s="147"/>
      <c r="M77" s="147"/>
      <c r="N77" s="147"/>
      <c r="O77" s="147"/>
      <c r="P77" s="147"/>
      <c r="Q77" s="4"/>
      <c r="R77" s="36"/>
      <c r="S77" s="36"/>
      <c r="T77" s="36"/>
      <c r="U77" s="36"/>
      <c r="V77" s="36"/>
      <c r="W77" s="4"/>
      <c r="X77" s="4"/>
      <c r="Y77" s="4"/>
      <c r="Z77" s="4"/>
      <c r="AA77" s="4"/>
      <c r="AB77" s="4"/>
      <c r="AC77" s="4"/>
      <c r="AD77" s="4"/>
      <c r="AE77" s="4"/>
      <c r="AF77" s="4"/>
      <c r="AG77" s="4"/>
      <c r="AH77" s="4"/>
      <c r="AI77" s="4"/>
      <c r="AJ77" s="4"/>
      <c r="AK77" s="4"/>
      <c r="AL77" s="4"/>
      <c r="BC77" s="43" t="str">
        <f t="shared" si="0"/>
        <v>V = commercefenneufz</v>
      </c>
      <c r="BD77" s="43" t="s">
        <v>68</v>
      </c>
      <c r="BE77" s="56" t="s">
        <v>12</v>
      </c>
      <c r="BF77" s="33" t="s">
        <v>6</v>
      </c>
      <c r="BG77" s="33" t="s">
        <v>381</v>
      </c>
      <c r="BH77" s="33" t="s">
        <v>145</v>
      </c>
      <c r="BI77" s="33" t="s">
        <v>146</v>
      </c>
    </row>
    <row r="78" spans="1:82" ht="15" customHeight="1" x14ac:dyDescent="0.25">
      <c r="A78" s="4"/>
      <c r="B78" s="147"/>
      <c r="C78" s="147"/>
      <c r="D78" s="147"/>
      <c r="E78" s="147"/>
      <c r="F78" s="147"/>
      <c r="G78" s="147"/>
      <c r="H78" s="147"/>
      <c r="I78" s="147"/>
      <c r="J78" s="147"/>
      <c r="K78" s="147"/>
      <c r="L78" s="147"/>
      <c r="M78" s="147"/>
      <c r="N78" s="147"/>
      <c r="O78" s="147"/>
      <c r="P78" s="147"/>
      <c r="Q78" s="4"/>
      <c r="R78" s="36"/>
      <c r="S78" s="36"/>
      <c r="T78" s="49"/>
      <c r="U78" s="49"/>
      <c r="V78" s="49"/>
      <c r="W78" s="48"/>
      <c r="X78" s="48"/>
      <c r="Y78" s="48"/>
      <c r="Z78" s="48"/>
      <c r="AA78" s="48"/>
      <c r="AB78" s="48"/>
      <c r="AC78" s="48"/>
      <c r="AD78" s="48"/>
      <c r="AE78" s="48"/>
      <c r="AF78" s="48"/>
      <c r="AG78" s="48"/>
      <c r="AH78" s="48"/>
      <c r="AI78" s="48"/>
      <c r="AJ78" s="48"/>
      <c r="AK78" s="48"/>
      <c r="AL78" s="4"/>
      <c r="AN78" s="33">
        <v>0</v>
      </c>
      <c r="BC78" s="43" t="str">
        <f t="shared" si="0"/>
        <v>V = commerceportesneufz</v>
      </c>
      <c r="BD78" s="43" t="s">
        <v>68</v>
      </c>
      <c r="BE78" s="56" t="s">
        <v>15</v>
      </c>
      <c r="BF78" s="33" t="s">
        <v>6</v>
      </c>
      <c r="BG78" s="33" t="s">
        <v>381</v>
      </c>
      <c r="BH78" s="33">
        <v>1.2</v>
      </c>
      <c r="BI78" s="33">
        <v>1.5</v>
      </c>
    </row>
    <row r="79" spans="1:82" ht="20.100000000000001" customHeight="1" thickBot="1" x14ac:dyDescent="0.3">
      <c r="A79" s="4"/>
      <c r="B79" s="22"/>
      <c r="C79" s="22"/>
      <c r="D79" s="23"/>
      <c r="E79" s="23"/>
      <c r="F79" s="23"/>
      <c r="G79" s="23"/>
      <c r="H79" s="23"/>
      <c r="I79" s="23"/>
      <c r="J79" s="23"/>
      <c r="K79" s="23"/>
      <c r="L79" s="23"/>
      <c r="M79" s="23"/>
      <c r="N79" s="24"/>
      <c r="O79" s="24"/>
      <c r="P79" s="24"/>
      <c r="Q79" s="24"/>
      <c r="R79" s="24"/>
      <c r="S79" s="24"/>
      <c r="T79" s="24"/>
      <c r="U79" s="24"/>
      <c r="V79" s="25"/>
      <c r="W79" s="25"/>
      <c r="X79" s="25"/>
      <c r="Y79" s="25"/>
      <c r="Z79" s="25"/>
      <c r="AA79" s="25"/>
      <c r="AB79" s="25"/>
      <c r="AC79" s="25"/>
      <c r="AD79" s="25"/>
      <c r="AE79" s="25"/>
      <c r="AF79" s="25"/>
      <c r="AG79" s="25"/>
      <c r="AH79" s="25"/>
      <c r="AI79" s="25"/>
      <c r="AJ79" s="25"/>
      <c r="AK79" s="25"/>
      <c r="AL79" s="4"/>
      <c r="BC79" s="43" t="str">
        <f t="shared" si="0"/>
        <v>V = commercep343neufz</v>
      </c>
      <c r="BD79" s="43" t="s">
        <v>68</v>
      </c>
      <c r="BE79" s="56" t="s">
        <v>16</v>
      </c>
      <c r="BF79" s="33" t="s">
        <v>6</v>
      </c>
      <c r="BG79" s="33" t="s">
        <v>381</v>
      </c>
      <c r="BH79" s="33">
        <v>1.7</v>
      </c>
      <c r="BI79" s="33">
        <v>2</v>
      </c>
    </row>
    <row r="80" spans="1:82" ht="15.75" x14ac:dyDescent="0.25">
      <c r="A80" s="4"/>
      <c r="B80" s="21" t="s">
        <v>70</v>
      </c>
      <c r="C80" s="21"/>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BC80" s="43" t="str">
        <f t="shared" si="0"/>
        <v>V = commercestoresneufz</v>
      </c>
      <c r="BD80" s="43" t="s">
        <v>68</v>
      </c>
      <c r="BE80" s="56" t="s">
        <v>19</v>
      </c>
      <c r="BF80" s="33" t="s">
        <v>6</v>
      </c>
      <c r="BG80" s="33" t="s">
        <v>381</v>
      </c>
      <c r="BH80" s="33">
        <v>0.5</v>
      </c>
      <c r="BI80" s="33">
        <v>0.5</v>
      </c>
    </row>
    <row r="81" spans="1:61" x14ac:dyDescent="0.25">
      <c r="A81" s="4"/>
      <c r="B81" s="147" t="s">
        <v>106</v>
      </c>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4"/>
      <c r="BC81" s="43" t="str">
        <f t="shared" si="0"/>
        <v>V = commercetprénoz</v>
      </c>
      <c r="BD81" s="43" t="s">
        <v>68</v>
      </c>
      <c r="BE81" s="56" t="s">
        <v>5</v>
      </c>
      <c r="BF81" s="33" t="s">
        <v>24</v>
      </c>
      <c r="BG81" s="33" t="s">
        <v>381</v>
      </c>
      <c r="BH81" s="33">
        <v>0.25</v>
      </c>
      <c r="BI81" s="33">
        <v>0.28000000000000003</v>
      </c>
    </row>
    <row r="82" spans="1:61" x14ac:dyDescent="0.25">
      <c r="A82" s="4"/>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4"/>
      <c r="BC82" s="43" t="str">
        <f>BD82&amp;BE82&amp;BF82&amp;BG82</f>
        <v>V = commercemrénoz</v>
      </c>
      <c r="BD82" s="43" t="s">
        <v>68</v>
      </c>
      <c r="BE82" s="56" t="s">
        <v>8</v>
      </c>
      <c r="BF82" s="33" t="s">
        <v>24</v>
      </c>
      <c r="BG82" s="33" t="s">
        <v>381</v>
      </c>
      <c r="BH82" s="33">
        <v>0.25</v>
      </c>
      <c r="BI82" s="33">
        <v>0.28000000000000003</v>
      </c>
    </row>
    <row r="83" spans="1:61" x14ac:dyDescent="0.25">
      <c r="A83" s="4"/>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4"/>
      <c r="BC83" s="43" t="str">
        <f>BD83&amp;BE83&amp;BF83&amp;BG83</f>
        <v>V = commercesrénoz</v>
      </c>
      <c r="BD83" s="43" t="s">
        <v>68</v>
      </c>
      <c r="BE83" s="56" t="s">
        <v>11</v>
      </c>
      <c r="BF83" s="33" t="s">
        <v>24</v>
      </c>
      <c r="BG83" s="33" t="s">
        <v>381</v>
      </c>
      <c r="BH83" s="33">
        <v>0.25</v>
      </c>
      <c r="BI83" s="33">
        <v>0.28000000000000003</v>
      </c>
    </row>
    <row r="84" spans="1:61" ht="20.100000000000001" customHeight="1" thickBot="1" x14ac:dyDescent="0.3">
      <c r="A84" s="4"/>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4"/>
      <c r="BC84" s="43" t="str">
        <f t="shared" si="0"/>
        <v>V = commercefenrénoz</v>
      </c>
      <c r="BD84" s="43" t="s">
        <v>68</v>
      </c>
      <c r="BE84" s="56" t="s">
        <v>12</v>
      </c>
      <c r="BF84" s="33" t="s">
        <v>24</v>
      </c>
      <c r="BG84" s="33" t="s">
        <v>381</v>
      </c>
      <c r="BH84" s="33" t="s">
        <v>145</v>
      </c>
      <c r="BI84" s="33" t="s">
        <v>146</v>
      </c>
    </row>
    <row r="85" spans="1:61" ht="15" customHeight="1" x14ac:dyDescent="0.25">
      <c r="A85" s="4"/>
      <c r="B85" s="21" t="s">
        <v>71</v>
      </c>
      <c r="C85" s="21"/>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BC85" s="43" t="str">
        <f t="shared" si="0"/>
        <v>V = commerceportesrénoz</v>
      </c>
      <c r="BD85" s="43" t="s">
        <v>68</v>
      </c>
      <c r="BE85" s="56" t="s">
        <v>15</v>
      </c>
      <c r="BF85" s="33" t="s">
        <v>24</v>
      </c>
      <c r="BG85" s="33" t="s">
        <v>381</v>
      </c>
      <c r="BH85" s="33">
        <v>1.2</v>
      </c>
      <c r="BI85" s="33">
        <v>1.5</v>
      </c>
    </row>
    <row r="86" spans="1:61" ht="15" customHeight="1" x14ac:dyDescent="0.25">
      <c r="A86" s="4"/>
      <c r="B86" s="148" t="s">
        <v>73</v>
      </c>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4"/>
      <c r="BC86" s="43" t="str">
        <f t="shared" si="0"/>
        <v>V = commercep343rénoz</v>
      </c>
      <c r="BD86" s="43" t="s">
        <v>68</v>
      </c>
      <c r="BE86" s="56" t="s">
        <v>16</v>
      </c>
      <c r="BF86" s="33" t="s">
        <v>24</v>
      </c>
      <c r="BG86" s="33" t="s">
        <v>381</v>
      </c>
      <c r="BH86" s="33">
        <v>1.7</v>
      </c>
      <c r="BI86" s="33">
        <v>2</v>
      </c>
    </row>
    <row r="87" spans="1:61" ht="15" customHeight="1" x14ac:dyDescent="0.25">
      <c r="A87" s="4"/>
      <c r="B87" s="147" t="s">
        <v>143</v>
      </c>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4"/>
      <c r="BC87" s="43" t="str">
        <f t="shared" si="0"/>
        <v>V = commercestoresrénoz</v>
      </c>
      <c r="BD87" s="43" t="s">
        <v>68</v>
      </c>
      <c r="BE87" s="56" t="s">
        <v>19</v>
      </c>
      <c r="BF87" s="33" t="s">
        <v>24</v>
      </c>
      <c r="BG87" s="33" t="s">
        <v>381</v>
      </c>
      <c r="BH87" s="33">
        <v>0.5</v>
      </c>
      <c r="BI87" s="33">
        <v>0.5</v>
      </c>
    </row>
    <row r="88" spans="1:61" ht="15" customHeight="1" x14ac:dyDescent="0.25">
      <c r="A88" s="4"/>
      <c r="B88" s="168" t="s">
        <v>74</v>
      </c>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4"/>
      <c r="BC88" s="43" t="str">
        <f t="shared" si="0"/>
        <v>VI = restaurationtpneufz</v>
      </c>
      <c r="BD88" s="43" t="s">
        <v>72</v>
      </c>
      <c r="BE88" s="56" t="s">
        <v>5</v>
      </c>
      <c r="BF88" s="33" t="s">
        <v>6</v>
      </c>
      <c r="BG88" s="33" t="s">
        <v>381</v>
      </c>
      <c r="BH88" s="33">
        <v>0.17</v>
      </c>
      <c r="BI88" s="33">
        <v>0.25</v>
      </c>
    </row>
    <row r="89" spans="1:61" ht="15" customHeight="1" x14ac:dyDescent="0.25">
      <c r="A89" s="4"/>
      <c r="B89" s="152" t="s">
        <v>75</v>
      </c>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4"/>
      <c r="BC89" s="43" t="str">
        <f>BD89&amp;BE89&amp;BF89&amp;BG89</f>
        <v>VI = restaurationmneufz</v>
      </c>
      <c r="BD89" s="43" t="s">
        <v>72</v>
      </c>
      <c r="BE89" s="56" t="s">
        <v>8</v>
      </c>
      <c r="BF89" s="33" t="s">
        <v>6</v>
      </c>
      <c r="BG89" s="33" t="s">
        <v>381</v>
      </c>
      <c r="BH89" s="33">
        <v>0.17</v>
      </c>
      <c r="BI89" s="33">
        <v>0.25</v>
      </c>
    </row>
    <row r="90" spans="1:61" x14ac:dyDescent="0.25">
      <c r="A90" s="4"/>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
      <c r="BC90" s="43" t="str">
        <f>BD90&amp;BE90&amp;BF90&amp;BG90</f>
        <v>VI = restaurationsneufz</v>
      </c>
      <c r="BD90" s="43" t="s">
        <v>72</v>
      </c>
      <c r="BE90" s="56" t="s">
        <v>11</v>
      </c>
      <c r="BF90" s="33" t="s">
        <v>6</v>
      </c>
      <c r="BG90" s="33" t="s">
        <v>381</v>
      </c>
      <c r="BH90" s="33">
        <v>0.17</v>
      </c>
      <c r="BI90" s="33">
        <v>0.25</v>
      </c>
    </row>
    <row r="91" spans="1:61" ht="19.899999999999999" customHeight="1" x14ac:dyDescent="0.25">
      <c r="A91" s="4"/>
      <c r="B91" s="4" t="s">
        <v>76</v>
      </c>
      <c r="C91" s="169" t="s">
        <v>142</v>
      </c>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64"/>
      <c r="BC91" s="43" t="str">
        <f t="shared" si="0"/>
        <v>VI = restaurationfenneufz</v>
      </c>
      <c r="BD91" s="43" t="s">
        <v>72</v>
      </c>
      <c r="BE91" s="56" t="s">
        <v>12</v>
      </c>
      <c r="BF91" s="33" t="s">
        <v>6</v>
      </c>
      <c r="BG91" s="33" t="s">
        <v>381</v>
      </c>
      <c r="BH91" s="33" t="s">
        <v>145</v>
      </c>
      <c r="BI91" s="33" t="s">
        <v>146</v>
      </c>
    </row>
    <row r="92" spans="1:61" ht="15" customHeight="1" x14ac:dyDescent="0.25">
      <c r="A92" s="4"/>
      <c r="B92" s="4" t="s">
        <v>77</v>
      </c>
      <c r="C92" s="26" t="s">
        <v>78</v>
      </c>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BC92" s="43" t="str">
        <f t="shared" si="0"/>
        <v>VI = restaurationportesneufz</v>
      </c>
      <c r="BD92" s="43" t="s">
        <v>72</v>
      </c>
      <c r="BE92" s="56" t="s">
        <v>15</v>
      </c>
      <c r="BF92" s="33" t="s">
        <v>6</v>
      </c>
      <c r="BG92" s="33" t="s">
        <v>381</v>
      </c>
      <c r="BH92" s="33">
        <v>1.2</v>
      </c>
      <c r="BI92" s="33">
        <v>1.5</v>
      </c>
    </row>
    <row r="93" spans="1:61" ht="15" customHeight="1" x14ac:dyDescent="0.25">
      <c r="A93" s="4"/>
      <c r="B93" s="4" t="s">
        <v>79</v>
      </c>
      <c r="C93" s="26" t="s">
        <v>80</v>
      </c>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BC93" s="43" t="str">
        <f t="shared" si="0"/>
        <v>VI = restaurationp343neufz</v>
      </c>
      <c r="BD93" s="43" t="s">
        <v>72</v>
      </c>
      <c r="BE93" s="56" t="s">
        <v>16</v>
      </c>
      <c r="BF93" s="33" t="s">
        <v>6</v>
      </c>
      <c r="BG93" s="33" t="s">
        <v>381</v>
      </c>
      <c r="BH93" s="33">
        <v>1.7</v>
      </c>
      <c r="BI93" s="33">
        <v>2</v>
      </c>
    </row>
    <row r="94" spans="1:61" ht="15" customHeight="1" x14ac:dyDescent="0.25">
      <c r="A94" s="4"/>
      <c r="B94" s="4" t="s">
        <v>81</v>
      </c>
      <c r="C94" s="169" t="s">
        <v>114</v>
      </c>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c r="AH94" s="169"/>
      <c r="AI94" s="169"/>
      <c r="AJ94" s="169"/>
      <c r="AK94" s="169"/>
      <c r="AL94" s="4"/>
      <c r="BC94" s="43" t="str">
        <f t="shared" si="0"/>
        <v>VI = restaurationstoresneufz</v>
      </c>
      <c r="BD94" s="43" t="s">
        <v>72</v>
      </c>
      <c r="BE94" s="56" t="s">
        <v>19</v>
      </c>
      <c r="BF94" s="33" t="s">
        <v>6</v>
      </c>
      <c r="BG94" s="33" t="s">
        <v>381</v>
      </c>
      <c r="BH94" s="33">
        <v>0.5</v>
      </c>
      <c r="BI94" s="33">
        <v>0.5</v>
      </c>
    </row>
    <row r="95" spans="1:61" ht="21.75" customHeight="1" x14ac:dyDescent="0.25">
      <c r="A95" s="4"/>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4"/>
      <c r="BC95" s="43" t="str">
        <f t="shared" si="0"/>
        <v>VI = restaurationtprénoz</v>
      </c>
      <c r="BD95" s="43" t="s">
        <v>72</v>
      </c>
      <c r="BE95" s="56" t="s">
        <v>5</v>
      </c>
      <c r="BF95" s="33" t="s">
        <v>24</v>
      </c>
      <c r="BG95" s="33" t="s">
        <v>381</v>
      </c>
      <c r="BH95" s="33">
        <v>0.25</v>
      </c>
      <c r="BI95" s="33">
        <v>0.28000000000000003</v>
      </c>
    </row>
    <row r="96" spans="1:61" ht="15" customHeight="1" thickBot="1" x14ac:dyDescent="0.3">
      <c r="A96" s="4"/>
      <c r="B96" s="22"/>
      <c r="C96" s="22"/>
      <c r="D96" s="23"/>
      <c r="E96" s="23"/>
      <c r="F96" s="23"/>
      <c r="G96" s="23"/>
      <c r="H96" s="23"/>
      <c r="I96" s="23"/>
      <c r="J96" s="23"/>
      <c r="K96" s="23"/>
      <c r="L96" s="23"/>
      <c r="M96" s="23"/>
      <c r="N96" s="24"/>
      <c r="O96" s="24"/>
      <c r="P96" s="24"/>
      <c r="Q96" s="24"/>
      <c r="R96" s="24"/>
      <c r="S96" s="24"/>
      <c r="T96" s="24"/>
      <c r="U96" s="24"/>
      <c r="V96" s="25"/>
      <c r="W96" s="25"/>
      <c r="X96" s="25"/>
      <c r="Y96" s="25"/>
      <c r="Z96" s="25"/>
      <c r="AA96" s="25"/>
      <c r="AB96" s="25"/>
      <c r="AC96" s="25"/>
      <c r="AD96" s="25"/>
      <c r="AE96" s="25"/>
      <c r="AF96" s="25"/>
      <c r="AG96" s="25"/>
      <c r="AH96" s="25"/>
      <c r="AI96" s="25"/>
      <c r="AJ96" s="25"/>
      <c r="AK96" s="25"/>
      <c r="AL96" s="4"/>
      <c r="BC96" s="43" t="str">
        <f>BD96&amp;BE96&amp;BF96&amp;BG96</f>
        <v>VI = restaurationmrénoz</v>
      </c>
      <c r="BD96" s="43" t="s">
        <v>72</v>
      </c>
      <c r="BE96" s="56" t="s">
        <v>8</v>
      </c>
      <c r="BF96" s="33" t="s">
        <v>24</v>
      </c>
      <c r="BG96" s="33" t="s">
        <v>381</v>
      </c>
      <c r="BH96" s="33">
        <v>0.25</v>
      </c>
      <c r="BI96" s="33">
        <v>0.28000000000000003</v>
      </c>
    </row>
    <row r="97" spans="1:82" ht="20.100000000000001" customHeight="1" x14ac:dyDescent="0.25">
      <c r="A97" s="4"/>
      <c r="B97" s="153" t="s">
        <v>82</v>
      </c>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4"/>
      <c r="BC97" s="43" t="str">
        <f>BD97&amp;BE97&amp;BF97&amp;BG97</f>
        <v>VI = restaurationsrénoz</v>
      </c>
      <c r="BD97" s="43" t="s">
        <v>72</v>
      </c>
      <c r="BE97" s="56" t="s">
        <v>11</v>
      </c>
      <c r="BF97" s="33" t="s">
        <v>24</v>
      </c>
      <c r="BG97" s="33" t="s">
        <v>381</v>
      </c>
      <c r="BH97" s="33">
        <v>0.25</v>
      </c>
      <c r="BI97" s="33">
        <v>0.28000000000000003</v>
      </c>
    </row>
    <row r="98" spans="1:82" ht="15" customHeight="1" x14ac:dyDescent="0.25">
      <c r="A98" s="4"/>
      <c r="B98" s="304"/>
      <c r="C98" s="305"/>
      <c r="D98" s="305"/>
      <c r="E98" s="305"/>
      <c r="F98" s="305"/>
      <c r="G98" s="305"/>
      <c r="H98" s="305"/>
      <c r="I98" s="305"/>
      <c r="J98" s="305"/>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6"/>
      <c r="AL98" s="4"/>
      <c r="BC98" s="43" t="str">
        <f t="shared" si="0"/>
        <v>VI = restaurationfenrénoz</v>
      </c>
      <c r="BD98" s="43" t="s">
        <v>72</v>
      </c>
      <c r="BE98" s="56" t="s">
        <v>12</v>
      </c>
      <c r="BF98" s="33" t="s">
        <v>24</v>
      </c>
      <c r="BG98" s="33" t="s">
        <v>381</v>
      </c>
      <c r="BH98" s="33" t="s">
        <v>145</v>
      </c>
      <c r="BI98" s="33" t="s">
        <v>146</v>
      </c>
    </row>
    <row r="99" spans="1:82" ht="15" customHeight="1" x14ac:dyDescent="0.25">
      <c r="A99" s="4"/>
      <c r="B99" s="307"/>
      <c r="C99" s="308"/>
      <c r="D99" s="308"/>
      <c r="E99" s="308"/>
      <c r="F99" s="308"/>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08"/>
      <c r="AE99" s="308"/>
      <c r="AF99" s="308"/>
      <c r="AG99" s="308"/>
      <c r="AH99" s="308"/>
      <c r="AI99" s="308"/>
      <c r="AJ99" s="308"/>
      <c r="AK99" s="309"/>
      <c r="AL99" s="4"/>
      <c r="BC99" s="43" t="str">
        <f t="shared" si="0"/>
        <v>VI = restaurationportesrénoz</v>
      </c>
      <c r="BD99" s="43" t="s">
        <v>72</v>
      </c>
      <c r="BE99" s="56" t="s">
        <v>15</v>
      </c>
      <c r="BF99" s="33" t="s">
        <v>24</v>
      </c>
      <c r="BG99" s="33" t="s">
        <v>381</v>
      </c>
      <c r="BH99" s="33">
        <v>1.2</v>
      </c>
      <c r="BI99" s="33">
        <v>1.5</v>
      </c>
    </row>
    <row r="100" spans="1:82" ht="15" customHeight="1" x14ac:dyDescent="0.25">
      <c r="A100" s="4"/>
      <c r="B100" s="307"/>
      <c r="C100" s="308"/>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9"/>
      <c r="AL100" s="4"/>
      <c r="BC100" s="43" t="str">
        <f t="shared" si="0"/>
        <v>VI = restaurationp343rénoz</v>
      </c>
      <c r="BD100" s="43" t="s">
        <v>72</v>
      </c>
      <c r="BE100" s="56" t="s">
        <v>16</v>
      </c>
      <c r="BF100" s="33" t="s">
        <v>24</v>
      </c>
      <c r="BG100" s="33" t="s">
        <v>381</v>
      </c>
      <c r="BH100" s="33">
        <v>1.7</v>
      </c>
      <c r="BI100" s="33">
        <v>2</v>
      </c>
    </row>
    <row r="101" spans="1:82" ht="15" customHeight="1" x14ac:dyDescent="0.25">
      <c r="A101" s="4"/>
      <c r="B101" s="307"/>
      <c r="C101" s="308"/>
      <c r="D101" s="308"/>
      <c r="E101" s="308"/>
      <c r="F101" s="308"/>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08"/>
      <c r="AE101" s="308"/>
      <c r="AF101" s="308"/>
      <c r="AG101" s="308"/>
      <c r="AH101" s="308"/>
      <c r="AI101" s="308"/>
      <c r="AJ101" s="308"/>
      <c r="AK101" s="309"/>
      <c r="AL101" s="4"/>
      <c r="BC101" s="43" t="str">
        <f t="shared" si="0"/>
        <v>VI = restaurationstoresrénoz</v>
      </c>
      <c r="BD101" s="43" t="s">
        <v>72</v>
      </c>
      <c r="BE101" s="56" t="s">
        <v>19</v>
      </c>
      <c r="BF101" s="33" t="s">
        <v>24</v>
      </c>
      <c r="BG101" s="33" t="s">
        <v>381</v>
      </c>
      <c r="BH101" s="33">
        <v>0.5</v>
      </c>
      <c r="BI101" s="33">
        <v>0.5</v>
      </c>
      <c r="BQ101" s="43"/>
      <c r="BU101" s="59"/>
      <c r="CC101" s="58"/>
      <c r="CD101" s="58"/>
    </row>
    <row r="102" spans="1:82" ht="15" customHeight="1" x14ac:dyDescent="0.25">
      <c r="A102" s="4"/>
      <c r="B102" s="307"/>
      <c r="C102" s="308"/>
      <c r="D102" s="308"/>
      <c r="E102" s="308"/>
      <c r="F102" s="308"/>
      <c r="G102" s="308"/>
      <c r="H102" s="308"/>
      <c r="I102" s="308"/>
      <c r="J102" s="308"/>
      <c r="K102" s="308"/>
      <c r="L102" s="308"/>
      <c r="M102" s="308"/>
      <c r="N102" s="308"/>
      <c r="O102" s="308"/>
      <c r="P102" s="308"/>
      <c r="Q102" s="308"/>
      <c r="R102" s="308"/>
      <c r="S102" s="308"/>
      <c r="T102" s="308"/>
      <c r="U102" s="308"/>
      <c r="V102" s="308"/>
      <c r="W102" s="308"/>
      <c r="X102" s="308"/>
      <c r="Y102" s="308"/>
      <c r="Z102" s="308"/>
      <c r="AA102" s="308"/>
      <c r="AB102" s="308"/>
      <c r="AC102" s="308"/>
      <c r="AD102" s="308"/>
      <c r="AE102" s="308"/>
      <c r="AF102" s="308"/>
      <c r="AG102" s="308"/>
      <c r="AH102" s="308"/>
      <c r="AI102" s="308"/>
      <c r="AJ102" s="308"/>
      <c r="AK102" s="309"/>
      <c r="AL102" s="4"/>
      <c r="BC102" s="43" t="str">
        <f t="shared" si="0"/>
        <v>VII = lieux de rassemblementtpneufz</v>
      </c>
      <c r="BD102" s="43" t="s">
        <v>83</v>
      </c>
      <c r="BE102" s="56" t="s">
        <v>5</v>
      </c>
      <c r="BF102" s="33" t="s">
        <v>6</v>
      </c>
      <c r="BG102" s="33" t="s">
        <v>381</v>
      </c>
      <c r="BH102" s="33">
        <v>0.17</v>
      </c>
      <c r="BI102" s="33">
        <v>0.25</v>
      </c>
      <c r="BQ102" s="43"/>
      <c r="BT102" s="58"/>
      <c r="BU102" s="60"/>
      <c r="BV102" s="60"/>
      <c r="CC102" s="58"/>
      <c r="CD102" s="58"/>
    </row>
    <row r="103" spans="1:82" ht="15" customHeight="1" x14ac:dyDescent="0.25">
      <c r="A103" s="4"/>
      <c r="B103" s="307"/>
      <c r="C103" s="308"/>
      <c r="D103" s="308"/>
      <c r="E103" s="308"/>
      <c r="F103" s="308"/>
      <c r="G103" s="308"/>
      <c r="H103" s="308"/>
      <c r="I103" s="308"/>
      <c r="J103" s="308"/>
      <c r="K103" s="308"/>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9"/>
      <c r="AL103" s="4"/>
      <c r="BC103" s="43" t="str">
        <f>BD103&amp;BE103&amp;BF103&amp;BG103</f>
        <v>VII = lieux de rassemblementmneufz</v>
      </c>
      <c r="BD103" s="43" t="s">
        <v>83</v>
      </c>
      <c r="BE103" s="56" t="s">
        <v>8</v>
      </c>
      <c r="BF103" s="33" t="s">
        <v>6</v>
      </c>
      <c r="BG103" s="33" t="s">
        <v>381</v>
      </c>
      <c r="BH103" s="33">
        <v>0.17</v>
      </c>
      <c r="BI103" s="33">
        <v>0.25</v>
      </c>
      <c r="BQ103" s="43"/>
      <c r="BU103" s="60"/>
      <c r="BV103" s="61"/>
      <c r="CC103" s="58"/>
      <c r="CD103" s="58"/>
    </row>
    <row r="104" spans="1:82" ht="15" customHeight="1" x14ac:dyDescent="0.25">
      <c r="B104" s="307"/>
      <c r="C104" s="308"/>
      <c r="D104" s="308"/>
      <c r="E104" s="308"/>
      <c r="F104" s="308"/>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9"/>
      <c r="AL104" s="4"/>
      <c r="BC104" s="43" t="str">
        <f>BD104&amp;BE104&amp;BF104&amp;BG104</f>
        <v>VII = lieux de rassemblementsneufz</v>
      </c>
      <c r="BD104" s="43" t="s">
        <v>83</v>
      </c>
      <c r="BE104" s="56" t="s">
        <v>11</v>
      </c>
      <c r="BF104" s="33" t="s">
        <v>6</v>
      </c>
      <c r="BG104" s="33" t="s">
        <v>381</v>
      </c>
      <c r="BH104" s="33">
        <v>0.17</v>
      </c>
      <c r="BI104" s="33">
        <v>0.25</v>
      </c>
      <c r="BQ104" s="43"/>
      <c r="BV104" s="62"/>
      <c r="CC104" s="58"/>
      <c r="CD104" s="58"/>
    </row>
    <row r="105" spans="1:82" ht="15" customHeight="1" x14ac:dyDescent="0.25">
      <c r="A105" s="4"/>
      <c r="B105" s="307"/>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9"/>
      <c r="AL105" s="4"/>
      <c r="BC105" s="43" t="str">
        <f t="shared" si="0"/>
        <v>VII = lieux de rassemblementfenneufz</v>
      </c>
      <c r="BD105" s="43" t="s">
        <v>83</v>
      </c>
      <c r="BE105" s="56" t="s">
        <v>12</v>
      </c>
      <c r="BF105" s="33" t="s">
        <v>6</v>
      </c>
      <c r="BG105" s="33" t="s">
        <v>381</v>
      </c>
      <c r="BH105" s="33" t="s">
        <v>145</v>
      </c>
      <c r="BI105" s="33" t="s">
        <v>146</v>
      </c>
      <c r="BQ105" s="43"/>
      <c r="CC105" s="58"/>
      <c r="CD105" s="58"/>
    </row>
    <row r="106" spans="1:82" ht="15" customHeight="1" x14ac:dyDescent="0.25">
      <c r="A106" s="4"/>
      <c r="B106" s="307"/>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8"/>
      <c r="AK106" s="309"/>
      <c r="AL106" s="4"/>
      <c r="BC106" s="43" t="str">
        <f t="shared" si="0"/>
        <v>VII = lieux de rassemblementportesneufz</v>
      </c>
      <c r="BD106" s="43" t="s">
        <v>83</v>
      </c>
      <c r="BE106" s="56" t="s">
        <v>15</v>
      </c>
      <c r="BF106" s="33" t="s">
        <v>6</v>
      </c>
      <c r="BG106" s="33" t="s">
        <v>381</v>
      </c>
      <c r="BH106" s="33">
        <v>1.2</v>
      </c>
      <c r="BI106" s="33">
        <v>1.5</v>
      </c>
    </row>
    <row r="107" spans="1:82" ht="15" customHeight="1" x14ac:dyDescent="0.25">
      <c r="A107" s="4"/>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9"/>
      <c r="AL107" s="4"/>
      <c r="BC107" s="43" t="str">
        <f t="shared" si="0"/>
        <v>VII = lieux de rassemblementp343neufz</v>
      </c>
      <c r="BD107" s="43" t="s">
        <v>83</v>
      </c>
      <c r="BE107" s="56" t="s">
        <v>16</v>
      </c>
      <c r="BF107" s="33" t="s">
        <v>6</v>
      </c>
      <c r="BG107" s="33" t="s">
        <v>381</v>
      </c>
      <c r="BH107" s="33">
        <v>1.7</v>
      </c>
      <c r="BI107" s="33">
        <v>2</v>
      </c>
    </row>
    <row r="108" spans="1:82" ht="15" customHeight="1" x14ac:dyDescent="0.25">
      <c r="A108" s="4"/>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c r="AI108" s="311"/>
      <c r="AJ108" s="311"/>
      <c r="AK108" s="312"/>
      <c r="AL108" s="4"/>
      <c r="BC108" s="43" t="str">
        <f t="shared" si="0"/>
        <v>VII = lieux de rassemblementstoresneufz</v>
      </c>
      <c r="BD108" s="43" t="s">
        <v>83</v>
      </c>
      <c r="BE108" s="56" t="s">
        <v>19</v>
      </c>
      <c r="BF108" s="33" t="s">
        <v>6</v>
      </c>
      <c r="BG108" s="33" t="s">
        <v>381</v>
      </c>
      <c r="BH108" s="33">
        <v>0.5</v>
      </c>
      <c r="BI108" s="33">
        <v>0.5</v>
      </c>
    </row>
    <row r="109" spans="1:82" ht="16.5" customHeight="1" thickBot="1" x14ac:dyDescent="0.3">
      <c r="A109" s="4"/>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4"/>
      <c r="BC109" s="43" t="str">
        <f t="shared" ref="BC109:BC200" si="1">BD109&amp;BE109&amp;BF109&amp;BG109</f>
        <v>VII = lieux de rassemblementtprénoz</v>
      </c>
      <c r="BD109" s="43" t="s">
        <v>83</v>
      </c>
      <c r="BE109" s="56" t="s">
        <v>5</v>
      </c>
      <c r="BF109" s="33" t="s">
        <v>24</v>
      </c>
      <c r="BG109" s="33" t="s">
        <v>381</v>
      </c>
      <c r="BH109" s="33">
        <v>0.25</v>
      </c>
      <c r="BI109" s="33">
        <v>0.28000000000000003</v>
      </c>
    </row>
    <row r="110" spans="1:82" ht="20.100000000000001" customHeight="1" x14ac:dyDescent="0.25">
      <c r="A110" s="4"/>
      <c r="B110" s="38" t="s">
        <v>375</v>
      </c>
      <c r="C110" s="38"/>
      <c r="D110" s="38"/>
      <c r="E110" s="38"/>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BC110" s="43" t="str">
        <f>BD110&amp;BE110&amp;BF110&amp;BG110</f>
        <v>VII = lieux de rassemblementmrénoz</v>
      </c>
      <c r="BD110" s="43" t="s">
        <v>83</v>
      </c>
      <c r="BE110" s="56" t="s">
        <v>8</v>
      </c>
      <c r="BF110" s="33" t="s">
        <v>24</v>
      </c>
      <c r="BG110" s="33" t="s">
        <v>381</v>
      </c>
      <c r="BH110" s="33">
        <v>0.25</v>
      </c>
      <c r="BI110" s="33">
        <v>0.28000000000000003</v>
      </c>
    </row>
    <row r="111" spans="1:82" ht="17.25" customHeight="1" x14ac:dyDescent="0.25">
      <c r="A111" s="4"/>
      <c r="B111" s="4"/>
      <c r="C111" s="4" t="s">
        <v>84</v>
      </c>
      <c r="D111" s="4"/>
      <c r="E111" s="4"/>
      <c r="F111" s="4"/>
      <c r="G111" s="4"/>
      <c r="H111" s="4"/>
      <c r="I111" s="4"/>
      <c r="J111" s="4"/>
      <c r="K111" s="4"/>
      <c r="L111" s="4"/>
      <c r="M111" s="4"/>
      <c r="N111" s="4"/>
      <c r="O111" s="4"/>
      <c r="P111" s="4"/>
      <c r="Q111" s="4"/>
      <c r="R111" s="4"/>
      <c r="S111" s="4"/>
      <c r="T111" s="4"/>
      <c r="U111" s="4"/>
      <c r="V111" s="50" t="s">
        <v>154</v>
      </c>
      <c r="W111" s="4"/>
      <c r="X111" s="4"/>
      <c r="Y111" s="4"/>
      <c r="Z111" s="4"/>
      <c r="AA111" s="4"/>
      <c r="AB111" s="4"/>
      <c r="AC111" s="4"/>
      <c r="AD111" s="4"/>
      <c r="AE111" s="4"/>
      <c r="AF111" s="4"/>
      <c r="AG111" s="4"/>
      <c r="AH111" s="4"/>
      <c r="AI111" s="4"/>
      <c r="AJ111" s="4"/>
      <c r="AK111" s="4"/>
      <c r="AL111" s="4"/>
      <c r="BC111" s="43" t="str">
        <f>BD111&amp;BE111&amp;BF111&amp;BG111</f>
        <v>VII = lieux de rassemblementsrénoz</v>
      </c>
      <c r="BD111" s="43" t="s">
        <v>83</v>
      </c>
      <c r="BE111" s="56" t="s">
        <v>11</v>
      </c>
      <c r="BF111" s="33" t="s">
        <v>24</v>
      </c>
      <c r="BG111" s="33" t="s">
        <v>381</v>
      </c>
      <c r="BH111" s="33">
        <v>0.25</v>
      </c>
      <c r="BI111" s="33">
        <v>0.28000000000000003</v>
      </c>
    </row>
    <row r="112" spans="1:82" ht="17.25" customHeight="1" x14ac:dyDescent="0.25">
      <c r="A112" s="4"/>
      <c r="B112" s="4"/>
      <c r="C112" s="4" t="s">
        <v>85</v>
      </c>
      <c r="D112" s="4"/>
      <c r="E112" s="4"/>
      <c r="F112" s="4"/>
      <c r="G112" s="4"/>
      <c r="H112" s="4"/>
      <c r="I112" s="4"/>
      <c r="J112" s="4"/>
      <c r="K112" s="4"/>
      <c r="L112" s="4"/>
      <c r="M112" s="4"/>
      <c r="N112" s="4"/>
      <c r="O112" s="4"/>
      <c r="P112" s="4"/>
      <c r="Q112" s="4"/>
      <c r="R112" s="4"/>
      <c r="S112" s="4"/>
      <c r="T112" s="4"/>
      <c r="U112" s="4"/>
      <c r="V112" s="279"/>
      <c r="W112" s="279"/>
      <c r="X112" s="279"/>
      <c r="Y112" s="279"/>
      <c r="Z112" s="279"/>
      <c r="AA112" s="279"/>
      <c r="AB112" s="279"/>
      <c r="AC112" s="279"/>
      <c r="AD112" s="279"/>
      <c r="AE112" s="279"/>
      <c r="AF112" s="279"/>
      <c r="AG112" s="279"/>
      <c r="AH112" s="279"/>
      <c r="AI112" s="279"/>
      <c r="AJ112" s="279"/>
      <c r="AK112" s="279"/>
      <c r="AL112" s="4"/>
      <c r="BC112" s="43" t="str">
        <f t="shared" si="1"/>
        <v>VII = lieux de rassemblementfenrénoz</v>
      </c>
      <c r="BD112" s="43" t="s">
        <v>83</v>
      </c>
      <c r="BE112" s="56" t="s">
        <v>12</v>
      </c>
      <c r="BF112" s="33" t="s">
        <v>24</v>
      </c>
      <c r="BG112" s="33" t="s">
        <v>381</v>
      </c>
      <c r="BH112" s="33" t="s">
        <v>145</v>
      </c>
      <c r="BI112" s="33" t="s">
        <v>146</v>
      </c>
    </row>
    <row r="113" spans="1:61" ht="17.25" customHeight="1" x14ac:dyDescent="0.25">
      <c r="A113" s="4"/>
      <c r="B113" s="4"/>
      <c r="C113" s="4" t="s">
        <v>87</v>
      </c>
      <c r="D113" s="4"/>
      <c r="E113" s="4"/>
      <c r="F113" s="4"/>
      <c r="G113" s="4"/>
      <c r="H113" s="4"/>
      <c r="I113" s="4"/>
      <c r="J113" s="4"/>
      <c r="K113" s="4"/>
      <c r="L113" s="4"/>
      <c r="M113" s="4"/>
      <c r="N113" s="4"/>
      <c r="O113" s="4"/>
      <c r="P113" s="4"/>
      <c r="Q113" s="4"/>
      <c r="R113" s="4"/>
      <c r="S113" s="4"/>
      <c r="T113" s="4"/>
      <c r="U113" s="4"/>
      <c r="V113" s="232"/>
      <c r="W113" s="232"/>
      <c r="X113" s="232"/>
      <c r="Y113" s="232"/>
      <c r="Z113" s="232"/>
      <c r="AA113" s="232"/>
      <c r="AB113" s="232"/>
      <c r="AC113" s="232"/>
      <c r="AD113" s="232"/>
      <c r="AE113" s="232"/>
      <c r="AF113" s="232"/>
      <c r="AG113" s="232"/>
      <c r="AH113" s="232"/>
      <c r="AI113" s="232"/>
      <c r="AJ113" s="232"/>
      <c r="AK113" s="232"/>
      <c r="AL113" s="4"/>
      <c r="BC113" s="43" t="str">
        <f t="shared" si="1"/>
        <v>VII = lieux de rassemblementportesrénoz</v>
      </c>
      <c r="BD113" s="43" t="s">
        <v>83</v>
      </c>
      <c r="BE113" s="56" t="s">
        <v>15</v>
      </c>
      <c r="BF113" s="33" t="s">
        <v>24</v>
      </c>
      <c r="BG113" s="33" t="s">
        <v>381</v>
      </c>
      <c r="BH113" s="33">
        <v>1.2</v>
      </c>
      <c r="BI113" s="33">
        <v>1.5</v>
      </c>
    </row>
    <row r="114" spans="1:61" ht="17.25" customHeight="1" x14ac:dyDescent="0.25">
      <c r="A114" s="4"/>
      <c r="B114" s="4"/>
      <c r="C114" s="4" t="s">
        <v>337</v>
      </c>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BC114" s="43" t="str">
        <f t="shared" si="1"/>
        <v>VII = lieux de rassemblementp343rénoz</v>
      </c>
      <c r="BD114" s="43" t="s">
        <v>83</v>
      </c>
      <c r="BE114" s="56" t="s">
        <v>16</v>
      </c>
      <c r="BF114" s="33" t="s">
        <v>24</v>
      </c>
      <c r="BG114" s="33" t="s">
        <v>381</v>
      </c>
      <c r="BH114" s="33">
        <v>1.7</v>
      </c>
      <c r="BI114" s="33">
        <v>2</v>
      </c>
    </row>
    <row r="115" spans="1:61" ht="17.25" customHeight="1" x14ac:dyDescent="0.25">
      <c r="A115" s="4"/>
      <c r="B115" s="4"/>
      <c r="C115" s="4" t="s">
        <v>341</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BC115" s="43" t="str">
        <f t="shared" si="1"/>
        <v>VII = lieux de rassemblementstoresrénoz</v>
      </c>
      <c r="BD115" s="43" t="s">
        <v>83</v>
      </c>
      <c r="BE115" s="56" t="s">
        <v>19</v>
      </c>
      <c r="BF115" s="33" t="s">
        <v>24</v>
      </c>
      <c r="BG115" s="33" t="s">
        <v>381</v>
      </c>
      <c r="BH115" s="33">
        <v>0.5</v>
      </c>
      <c r="BI115" s="33">
        <v>0.5</v>
      </c>
    </row>
    <row r="116" spans="1:61" ht="17.45" customHeight="1" x14ac:dyDescent="0.25">
      <c r="A116" s="4"/>
      <c r="B116" s="4"/>
      <c r="C116" s="4" t="s">
        <v>338</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BC116" s="43" t="str">
        <f t="shared" si="1"/>
        <v>VIII = hôpitauxtpneufz</v>
      </c>
      <c r="BD116" s="43" t="s">
        <v>86</v>
      </c>
      <c r="BE116" s="56" t="s">
        <v>5</v>
      </c>
      <c r="BF116" s="33" t="s">
        <v>6</v>
      </c>
      <c r="BG116" s="33" t="s">
        <v>381</v>
      </c>
      <c r="BH116" s="33">
        <v>0.15300000000000002</v>
      </c>
      <c r="BI116" s="33">
        <v>0.22500000000000001</v>
      </c>
    </row>
    <row r="117" spans="1:61" ht="17.45" customHeight="1" x14ac:dyDescent="0.25">
      <c r="A117" s="4"/>
      <c r="B117" s="4"/>
      <c r="C117" s="4" t="s">
        <v>339</v>
      </c>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BC117" s="43" t="str">
        <f>BD117&amp;BE117&amp;BF117&amp;BG117</f>
        <v>VIII = hôpitauxmneufz</v>
      </c>
      <c r="BD117" s="43" t="s">
        <v>86</v>
      </c>
      <c r="BE117" s="56" t="s">
        <v>8</v>
      </c>
      <c r="BF117" s="33" t="s">
        <v>6</v>
      </c>
      <c r="BG117" s="33" t="s">
        <v>381</v>
      </c>
      <c r="BH117" s="33">
        <v>0.15300000000000002</v>
      </c>
      <c r="BI117" s="33">
        <v>0.22500000000000001</v>
      </c>
    </row>
    <row r="118" spans="1:61" ht="17.45" customHeight="1" thickBot="1" x14ac:dyDescent="0.3">
      <c r="A118" s="4"/>
      <c r="B118" s="6"/>
      <c r="C118" s="6" t="s">
        <v>340</v>
      </c>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4"/>
      <c r="BC118" s="43" t="str">
        <f>BD118&amp;BE118&amp;BF118&amp;BG118</f>
        <v>VIII = hôpitauxsneufz</v>
      </c>
      <c r="BD118" s="43" t="s">
        <v>86</v>
      </c>
      <c r="BE118" s="56" t="s">
        <v>11</v>
      </c>
      <c r="BF118" s="33" t="s">
        <v>6</v>
      </c>
      <c r="BG118" s="33" t="s">
        <v>381</v>
      </c>
      <c r="BH118" s="33">
        <v>0.15300000000000002</v>
      </c>
      <c r="BI118" s="33">
        <v>0.22500000000000001</v>
      </c>
    </row>
    <row r="119" spans="1:61" ht="17.4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BC119" s="43" t="str">
        <f t="shared" si="1"/>
        <v>VIII = hôpitauxfenneufz</v>
      </c>
      <c r="BD119" s="43" t="s">
        <v>86</v>
      </c>
      <c r="BE119" s="56" t="s">
        <v>12</v>
      </c>
      <c r="BF119" s="33" t="s">
        <v>6</v>
      </c>
      <c r="BG119" s="33" t="s">
        <v>381</v>
      </c>
      <c r="BH119" s="33" t="s">
        <v>165</v>
      </c>
      <c r="BI119" s="33" t="s">
        <v>165</v>
      </c>
    </row>
    <row r="120" spans="1:61" ht="17.45" customHeight="1" x14ac:dyDescent="0.25">
      <c r="A120" s="4"/>
      <c r="B120" s="154" t="s">
        <v>88</v>
      </c>
      <c r="C120" s="154"/>
      <c r="D120" s="154"/>
      <c r="E120" s="154"/>
      <c r="F120" s="154"/>
      <c r="G120" s="155"/>
      <c r="H120" s="156" t="s">
        <v>89</v>
      </c>
      <c r="I120" s="157"/>
      <c r="J120" s="157"/>
      <c r="K120" s="157"/>
      <c r="L120" s="157"/>
      <c r="M120" s="157"/>
      <c r="N120" s="157"/>
      <c r="O120" s="157"/>
      <c r="P120" s="157"/>
      <c r="Q120" s="157"/>
      <c r="R120" s="157"/>
      <c r="S120" s="157"/>
      <c r="T120" s="157"/>
      <c r="U120" s="157"/>
      <c r="V120" s="158"/>
      <c r="W120" s="162" t="s">
        <v>122</v>
      </c>
      <c r="X120" s="163"/>
      <c r="Y120" s="163"/>
      <c r="Z120" s="163"/>
      <c r="AA120" s="163"/>
      <c r="AB120" s="163"/>
      <c r="AC120" s="163"/>
      <c r="AD120" s="163"/>
      <c r="AE120" s="163"/>
      <c r="AF120" s="163"/>
      <c r="AG120" s="163"/>
      <c r="AH120" s="163"/>
      <c r="AI120" s="163"/>
      <c r="AJ120" s="163"/>
      <c r="AK120" s="164"/>
      <c r="AL120" s="4"/>
      <c r="BC120" s="43" t="str">
        <f t="shared" si="1"/>
        <v>VIII = hôpitauxportesneufz</v>
      </c>
      <c r="BD120" s="43" t="s">
        <v>86</v>
      </c>
      <c r="BE120" s="56" t="s">
        <v>15</v>
      </c>
      <c r="BF120" s="33" t="s">
        <v>6</v>
      </c>
      <c r="BG120" s="33" t="s">
        <v>381</v>
      </c>
      <c r="BH120" s="33">
        <v>1.08</v>
      </c>
      <c r="BI120" s="33">
        <v>1.08</v>
      </c>
    </row>
    <row r="121" spans="1:61" ht="17.45" customHeight="1" x14ac:dyDescent="0.25">
      <c r="A121" s="4"/>
      <c r="B121" s="27"/>
      <c r="C121" s="27"/>
      <c r="D121" s="27"/>
      <c r="E121" s="27"/>
      <c r="F121" s="27"/>
      <c r="G121" s="27"/>
      <c r="H121" s="159"/>
      <c r="I121" s="160"/>
      <c r="J121" s="160"/>
      <c r="K121" s="160"/>
      <c r="L121" s="160"/>
      <c r="M121" s="160"/>
      <c r="N121" s="160"/>
      <c r="O121" s="160"/>
      <c r="P121" s="160"/>
      <c r="Q121" s="160"/>
      <c r="R121" s="160"/>
      <c r="S121" s="160"/>
      <c r="T121" s="160"/>
      <c r="U121" s="160"/>
      <c r="V121" s="161"/>
      <c r="W121" s="165"/>
      <c r="X121" s="166"/>
      <c r="Y121" s="166"/>
      <c r="Z121" s="166"/>
      <c r="AA121" s="166"/>
      <c r="AB121" s="166"/>
      <c r="AC121" s="166"/>
      <c r="AD121" s="166"/>
      <c r="AE121" s="166"/>
      <c r="AF121" s="166"/>
      <c r="AG121" s="166"/>
      <c r="AH121" s="166"/>
      <c r="AI121" s="166"/>
      <c r="AJ121" s="166"/>
      <c r="AK121" s="167"/>
      <c r="AL121" s="4"/>
      <c r="BC121" s="43" t="str">
        <f t="shared" si="1"/>
        <v>VIII = hôpitauxp343neufz</v>
      </c>
      <c r="BD121" s="43" t="s">
        <v>86</v>
      </c>
      <c r="BE121" s="56" t="s">
        <v>16</v>
      </c>
      <c r="BF121" s="33" t="s">
        <v>6</v>
      </c>
      <c r="BG121" s="33" t="s">
        <v>381</v>
      </c>
      <c r="BH121" s="33">
        <v>0.63</v>
      </c>
      <c r="BI121" s="33">
        <v>0.63</v>
      </c>
    </row>
    <row r="122" spans="1:61" ht="17.45" customHeight="1" x14ac:dyDescent="0.25">
      <c r="A122" s="4"/>
      <c r="B122" s="28"/>
      <c r="C122" s="150" t="s">
        <v>90</v>
      </c>
      <c r="D122" s="150"/>
      <c r="E122" s="150"/>
      <c r="F122" s="150"/>
      <c r="G122" s="151"/>
      <c r="H122" s="313"/>
      <c r="I122" s="314"/>
      <c r="J122" s="314"/>
      <c r="K122" s="314"/>
      <c r="L122" s="314"/>
      <c r="M122" s="314"/>
      <c r="N122" s="314"/>
      <c r="O122" s="314"/>
      <c r="P122" s="314"/>
      <c r="Q122" s="314"/>
      <c r="R122" s="314"/>
      <c r="S122" s="314"/>
      <c r="T122" s="314"/>
      <c r="U122" s="314"/>
      <c r="V122" s="315"/>
      <c r="W122" s="316"/>
      <c r="X122" s="317"/>
      <c r="Y122" s="317"/>
      <c r="Z122" s="317"/>
      <c r="AA122" s="317"/>
      <c r="AB122" s="317"/>
      <c r="AC122" s="317"/>
      <c r="AD122" s="317"/>
      <c r="AE122" s="317"/>
      <c r="AF122" s="317"/>
      <c r="AG122" s="317"/>
      <c r="AH122" s="317"/>
      <c r="AI122" s="317"/>
      <c r="AJ122" s="317"/>
      <c r="AK122" s="318"/>
      <c r="AL122" s="4"/>
      <c r="BC122" s="43" t="str">
        <f t="shared" si="1"/>
        <v>VIII = hôpitauxstoresneufz</v>
      </c>
      <c r="BD122" s="43" t="s">
        <v>86</v>
      </c>
      <c r="BE122" s="56" t="s">
        <v>19</v>
      </c>
      <c r="BF122" s="33" t="s">
        <v>6</v>
      </c>
      <c r="BG122" s="33" t="s">
        <v>381</v>
      </c>
      <c r="BH122" s="33">
        <v>0.45</v>
      </c>
      <c r="BI122" s="33">
        <v>0.45</v>
      </c>
    </row>
    <row r="123" spans="1:61" ht="17.45" customHeight="1" x14ac:dyDescent="0.25">
      <c r="A123" s="4"/>
      <c r="B123" s="28"/>
      <c r="C123" s="150"/>
      <c r="D123" s="150"/>
      <c r="E123" s="150"/>
      <c r="F123" s="150"/>
      <c r="G123" s="151"/>
      <c r="H123" s="319"/>
      <c r="I123" s="320"/>
      <c r="J123" s="320"/>
      <c r="K123" s="320"/>
      <c r="L123" s="320"/>
      <c r="M123" s="320"/>
      <c r="N123" s="320"/>
      <c r="O123" s="320"/>
      <c r="P123" s="320"/>
      <c r="Q123" s="320"/>
      <c r="R123" s="320"/>
      <c r="S123" s="320"/>
      <c r="T123" s="320"/>
      <c r="U123" s="320"/>
      <c r="V123" s="321"/>
      <c r="W123" s="322"/>
      <c r="X123" s="323"/>
      <c r="Y123" s="323"/>
      <c r="Z123" s="323"/>
      <c r="AA123" s="323"/>
      <c r="AB123" s="323"/>
      <c r="AC123" s="323"/>
      <c r="AD123" s="323"/>
      <c r="AE123" s="323"/>
      <c r="AF123" s="323"/>
      <c r="AG123" s="323"/>
      <c r="AH123" s="323"/>
      <c r="AI123" s="323"/>
      <c r="AJ123" s="323"/>
      <c r="AK123" s="324"/>
      <c r="AL123" s="4"/>
      <c r="BC123" s="43" t="str">
        <f t="shared" si="1"/>
        <v>VIII = hôpitauxtprénoz</v>
      </c>
      <c r="BD123" s="43" t="s">
        <v>86</v>
      </c>
      <c r="BE123" s="56" t="s">
        <v>5</v>
      </c>
      <c r="BF123" s="33" t="s">
        <v>24</v>
      </c>
      <c r="BG123" s="33" t="s">
        <v>381</v>
      </c>
      <c r="BH123" s="33">
        <v>0.22500000000000001</v>
      </c>
      <c r="BI123" s="33">
        <v>0.252</v>
      </c>
    </row>
    <row r="124" spans="1:61" ht="17.45" customHeight="1" x14ac:dyDescent="0.25">
      <c r="A124" s="4"/>
      <c r="B124" s="29"/>
      <c r="C124" s="148" t="s">
        <v>91</v>
      </c>
      <c r="D124" s="148"/>
      <c r="E124" s="148"/>
      <c r="F124" s="148"/>
      <c r="G124" s="149"/>
      <c r="H124" s="325"/>
      <c r="I124" s="288"/>
      <c r="J124" s="288"/>
      <c r="K124" s="288"/>
      <c r="L124" s="288"/>
      <c r="M124" s="288"/>
      <c r="N124" s="288"/>
      <c r="O124" s="288"/>
      <c r="P124" s="288"/>
      <c r="Q124" s="288"/>
      <c r="R124" s="288"/>
      <c r="S124" s="288"/>
      <c r="T124" s="288"/>
      <c r="U124" s="288"/>
      <c r="V124" s="326"/>
      <c r="W124" s="327"/>
      <c r="X124" s="328"/>
      <c r="Y124" s="328"/>
      <c r="Z124" s="328"/>
      <c r="AA124" s="328"/>
      <c r="AB124" s="328"/>
      <c r="AC124" s="328"/>
      <c r="AD124" s="328"/>
      <c r="AE124" s="328"/>
      <c r="AF124" s="328"/>
      <c r="AG124" s="328"/>
      <c r="AH124" s="328"/>
      <c r="AI124" s="328"/>
      <c r="AJ124" s="328"/>
      <c r="AK124" s="329"/>
      <c r="AL124" s="4"/>
      <c r="BC124" s="43" t="str">
        <f>BD124&amp;BE124&amp;BF124&amp;BG124</f>
        <v>VIII = hôpitauxmrénoz</v>
      </c>
      <c r="BD124" s="43" t="s">
        <v>86</v>
      </c>
      <c r="BE124" s="56" t="s">
        <v>8</v>
      </c>
      <c r="BF124" s="33" t="s">
        <v>24</v>
      </c>
      <c r="BG124" s="33" t="s">
        <v>381</v>
      </c>
      <c r="BH124" s="33">
        <v>0.22500000000000001</v>
      </c>
      <c r="BI124" s="33">
        <v>0.252</v>
      </c>
    </row>
    <row r="125" spans="1:61" ht="16.5" customHeight="1" x14ac:dyDescent="0.25">
      <c r="A125" s="4"/>
      <c r="B125" s="29"/>
      <c r="C125" s="148" t="s">
        <v>92</v>
      </c>
      <c r="D125" s="148"/>
      <c r="E125" s="148"/>
      <c r="F125" s="148"/>
      <c r="G125" s="149"/>
      <c r="H125" s="325"/>
      <c r="I125" s="288"/>
      <c r="J125" s="288"/>
      <c r="K125" s="288"/>
      <c r="L125" s="288"/>
      <c r="M125" s="288"/>
      <c r="N125" s="288"/>
      <c r="O125" s="288"/>
      <c r="P125" s="288"/>
      <c r="Q125" s="288"/>
      <c r="R125" s="288"/>
      <c r="S125" s="288"/>
      <c r="T125" s="288"/>
      <c r="U125" s="288"/>
      <c r="V125" s="326"/>
      <c r="W125" s="327"/>
      <c r="X125" s="328"/>
      <c r="Y125" s="328"/>
      <c r="Z125" s="328"/>
      <c r="AA125" s="328"/>
      <c r="AB125" s="328"/>
      <c r="AC125" s="328"/>
      <c r="AD125" s="328"/>
      <c r="AE125" s="328"/>
      <c r="AF125" s="328"/>
      <c r="AG125" s="328"/>
      <c r="AH125" s="328"/>
      <c r="AI125" s="328"/>
      <c r="AJ125" s="328"/>
      <c r="AK125" s="329"/>
      <c r="AL125" s="4"/>
      <c r="BC125" s="43" t="str">
        <f>BD125&amp;BE125&amp;BF125&amp;BG125</f>
        <v>VIII = hôpitauxsrénoz</v>
      </c>
      <c r="BD125" s="43" t="s">
        <v>86</v>
      </c>
      <c r="BE125" s="56" t="s">
        <v>11</v>
      </c>
      <c r="BF125" s="33" t="s">
        <v>24</v>
      </c>
      <c r="BG125" s="33" t="s">
        <v>381</v>
      </c>
      <c r="BH125" s="33">
        <v>0.22500000000000001</v>
      </c>
      <c r="BI125" s="33">
        <v>0.252</v>
      </c>
    </row>
    <row r="126" spans="1:61" ht="16.5" customHeight="1" x14ac:dyDescent="0.25">
      <c r="A126" s="4"/>
      <c r="B126" s="28"/>
      <c r="C126" s="150" t="s">
        <v>93</v>
      </c>
      <c r="D126" s="150"/>
      <c r="E126" s="150"/>
      <c r="F126" s="150"/>
      <c r="G126" s="151"/>
      <c r="H126" s="330"/>
      <c r="I126" s="331"/>
      <c r="J126" s="331"/>
      <c r="K126" s="331"/>
      <c r="L126" s="331"/>
      <c r="M126" s="331"/>
      <c r="N126" s="331"/>
      <c r="O126" s="331"/>
      <c r="P126" s="331"/>
      <c r="Q126" s="331"/>
      <c r="R126" s="331"/>
      <c r="S126" s="331"/>
      <c r="T126" s="331"/>
      <c r="U126" s="331"/>
      <c r="V126" s="332"/>
      <c r="W126" s="333"/>
      <c r="X126" s="334"/>
      <c r="Y126" s="334"/>
      <c r="Z126" s="334"/>
      <c r="AA126" s="334"/>
      <c r="AB126" s="334"/>
      <c r="AC126" s="334"/>
      <c r="AD126" s="334"/>
      <c r="AE126" s="334"/>
      <c r="AF126" s="334"/>
      <c r="AG126" s="334"/>
      <c r="AH126" s="334"/>
      <c r="AI126" s="334"/>
      <c r="AJ126" s="334"/>
      <c r="AK126" s="335"/>
      <c r="AL126" s="4"/>
      <c r="BC126" s="43" t="str">
        <f t="shared" si="1"/>
        <v>VIII = hôpitauxfenrénoz</v>
      </c>
      <c r="BD126" s="43" t="s">
        <v>86</v>
      </c>
      <c r="BE126" s="56" t="s">
        <v>12</v>
      </c>
      <c r="BF126" s="33" t="s">
        <v>24</v>
      </c>
      <c r="BG126" s="33" t="s">
        <v>381</v>
      </c>
      <c r="BH126" s="33" t="s">
        <v>161</v>
      </c>
      <c r="BI126" s="33" t="s">
        <v>161</v>
      </c>
    </row>
    <row r="127" spans="1:61" ht="16.5" customHeight="1" x14ac:dyDescent="0.25">
      <c r="A127" s="4"/>
      <c r="B127" s="28"/>
      <c r="C127" s="150"/>
      <c r="D127" s="150"/>
      <c r="E127" s="150"/>
      <c r="F127" s="150"/>
      <c r="G127" s="151"/>
      <c r="H127" s="336"/>
      <c r="I127" s="337"/>
      <c r="J127" s="337"/>
      <c r="K127" s="337"/>
      <c r="L127" s="337"/>
      <c r="M127" s="337"/>
      <c r="N127" s="337"/>
      <c r="O127" s="337"/>
      <c r="P127" s="337"/>
      <c r="Q127" s="337"/>
      <c r="R127" s="337"/>
      <c r="S127" s="337"/>
      <c r="T127" s="337"/>
      <c r="U127" s="337"/>
      <c r="V127" s="338"/>
      <c r="W127" s="339"/>
      <c r="X127" s="340"/>
      <c r="Y127" s="340"/>
      <c r="Z127" s="340"/>
      <c r="AA127" s="340"/>
      <c r="AB127" s="340"/>
      <c r="AC127" s="340"/>
      <c r="AD127" s="340"/>
      <c r="AE127" s="340"/>
      <c r="AF127" s="340"/>
      <c r="AG127" s="340"/>
      <c r="AH127" s="340"/>
      <c r="AI127" s="340"/>
      <c r="AJ127" s="340"/>
      <c r="AK127" s="341"/>
      <c r="AL127" s="4"/>
      <c r="BC127" s="43" t="str">
        <f t="shared" si="1"/>
        <v>VIII = hôpitauxportesrénoz</v>
      </c>
      <c r="BD127" s="43" t="s">
        <v>86</v>
      </c>
      <c r="BE127" s="56" t="s">
        <v>15</v>
      </c>
      <c r="BF127" s="33" t="s">
        <v>24</v>
      </c>
      <c r="BG127" s="33" t="s">
        <v>381</v>
      </c>
      <c r="BH127" s="33">
        <v>1.35</v>
      </c>
      <c r="BI127" s="33">
        <v>1.35</v>
      </c>
    </row>
    <row r="128" spans="1:61" ht="16.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10" t="s">
        <v>378</v>
      </c>
      <c r="AL128" s="4"/>
      <c r="BC128" s="43" t="str">
        <f t="shared" si="1"/>
        <v>VIII = hôpitauxp343rénoz</v>
      </c>
      <c r="BD128" s="43" t="s">
        <v>86</v>
      </c>
      <c r="BE128" s="56" t="s">
        <v>16</v>
      </c>
      <c r="BF128" s="33" t="s">
        <v>24</v>
      </c>
      <c r="BG128" s="33" t="s">
        <v>381</v>
      </c>
      <c r="BH128" s="33">
        <v>1.8</v>
      </c>
      <c r="BI128" s="33">
        <v>1.8</v>
      </c>
    </row>
    <row r="129" spans="1:82" ht="16.5" hidden="1" customHeight="1" x14ac:dyDescent="0.25">
      <c r="A129" s="51"/>
      <c r="B129" s="51"/>
      <c r="C129" s="51"/>
      <c r="D129" s="51"/>
      <c r="E129" s="51"/>
      <c r="F129" s="51"/>
      <c r="G129" s="51"/>
      <c r="H129" s="51"/>
      <c r="I129" s="51"/>
      <c r="J129" s="51"/>
      <c r="K129" s="51"/>
      <c r="L129" s="51"/>
      <c r="M129" s="51"/>
      <c r="N129" s="51"/>
      <c r="O129" s="51"/>
      <c r="P129" s="51"/>
      <c r="Q129" s="51"/>
      <c r="R129" s="51"/>
      <c r="S129" s="51"/>
      <c r="T129" s="51"/>
      <c r="U129" s="51" t="s">
        <v>155</v>
      </c>
      <c r="V129" s="51"/>
      <c r="W129" s="51"/>
      <c r="X129" s="51"/>
      <c r="Y129" s="51"/>
      <c r="Z129" s="51"/>
      <c r="AA129" s="51"/>
      <c r="AB129" s="51"/>
      <c r="AC129" s="51"/>
      <c r="AD129" s="51"/>
      <c r="AE129" s="51"/>
      <c r="AF129" s="51"/>
      <c r="AG129" s="51"/>
      <c r="AH129" s="51"/>
      <c r="AI129" s="51"/>
      <c r="AJ129" s="51"/>
      <c r="AK129" s="51"/>
      <c r="AL129" s="51"/>
      <c r="BC129" s="43" t="str">
        <f t="shared" si="1"/>
        <v>VIII = hôpitauxstoresrénoz</v>
      </c>
      <c r="BD129" s="43" t="s">
        <v>86</v>
      </c>
      <c r="BE129" s="56" t="s">
        <v>19</v>
      </c>
      <c r="BF129" s="33" t="s">
        <v>24</v>
      </c>
      <c r="BG129" s="33" t="s">
        <v>381</v>
      </c>
      <c r="BH129" s="33">
        <v>0.45</v>
      </c>
      <c r="BI129" s="33">
        <v>0.45</v>
      </c>
    </row>
    <row r="130" spans="1:82" ht="16.5" hidden="1" customHeight="1" x14ac:dyDescent="0.25">
      <c r="A130" s="51"/>
      <c r="B130" s="51"/>
      <c r="C130" s="51"/>
      <c r="D130" s="51"/>
      <c r="E130" s="51"/>
      <c r="F130" s="51"/>
      <c r="G130" s="51"/>
      <c r="H130" s="51"/>
      <c r="I130" s="51"/>
      <c r="J130" s="51"/>
      <c r="K130" s="52" t="s">
        <v>155</v>
      </c>
      <c r="L130" s="51"/>
      <c r="M130" s="51"/>
      <c r="N130" s="51"/>
      <c r="O130" s="51"/>
      <c r="P130" s="51"/>
      <c r="Q130" s="51"/>
      <c r="R130" s="51"/>
      <c r="S130" s="51"/>
      <c r="T130" s="51"/>
      <c r="U130" s="51" t="s">
        <v>166</v>
      </c>
      <c r="V130" s="51"/>
      <c r="W130" s="51"/>
      <c r="X130" s="51"/>
      <c r="Y130" s="51"/>
      <c r="Z130" s="51"/>
      <c r="AA130" s="51"/>
      <c r="AB130" s="51"/>
      <c r="AC130" s="51"/>
      <c r="AD130" s="51"/>
      <c r="AE130" s="51"/>
      <c r="AF130" s="51"/>
      <c r="AG130" s="51"/>
      <c r="AH130" s="51"/>
      <c r="AI130" s="51"/>
      <c r="AJ130" s="51"/>
      <c r="AK130" s="51" t="s">
        <v>7</v>
      </c>
      <c r="AL130" s="51"/>
      <c r="BC130" s="43" t="str">
        <f t="shared" si="1"/>
        <v>IX = industrietpneufz</v>
      </c>
      <c r="BD130" s="43" t="s">
        <v>94</v>
      </c>
      <c r="BE130" s="56" t="s">
        <v>5</v>
      </c>
      <c r="BF130" s="33" t="s">
        <v>6</v>
      </c>
      <c r="BG130" s="33" t="s">
        <v>381</v>
      </c>
      <c r="BH130" s="33">
        <v>0.187</v>
      </c>
      <c r="BI130" s="33">
        <v>0.27500000000000002</v>
      </c>
    </row>
    <row r="131" spans="1:82" ht="16.5" hidden="1" customHeight="1" x14ac:dyDescent="0.25">
      <c r="A131" s="51"/>
      <c r="B131" s="51"/>
      <c r="C131" s="51"/>
      <c r="D131" s="51"/>
      <c r="E131" s="51"/>
      <c r="F131" s="51"/>
      <c r="G131" s="51"/>
      <c r="H131" s="51"/>
      <c r="I131" s="51"/>
      <c r="J131" s="51"/>
      <c r="K131" s="52" t="s">
        <v>4</v>
      </c>
      <c r="L131" s="51"/>
      <c r="M131" s="51"/>
      <c r="N131" s="51"/>
      <c r="O131" s="51"/>
      <c r="P131" s="51"/>
      <c r="Q131" s="51"/>
      <c r="R131" s="51"/>
      <c r="S131" s="51"/>
      <c r="T131" s="51"/>
      <c r="U131" s="51" t="s">
        <v>116</v>
      </c>
      <c r="V131" s="51"/>
      <c r="W131" s="51"/>
      <c r="X131" s="51"/>
      <c r="Y131" s="51"/>
      <c r="Z131" s="51"/>
      <c r="AA131" s="51"/>
      <c r="AB131" s="51"/>
      <c r="AC131" s="51"/>
      <c r="AD131" s="51"/>
      <c r="AE131" s="51"/>
      <c r="AF131" s="51"/>
      <c r="AG131" s="51"/>
      <c r="AH131" s="51"/>
      <c r="AI131" s="51"/>
      <c r="AJ131" s="51"/>
      <c r="AK131" s="51" t="s">
        <v>95</v>
      </c>
      <c r="AL131" s="51"/>
      <c r="BC131" s="43" t="str">
        <f>BD131&amp;BE131&amp;BF131&amp;BG131</f>
        <v>IX = industriemneufz</v>
      </c>
      <c r="BD131" s="43" t="s">
        <v>94</v>
      </c>
      <c r="BE131" s="56" t="s">
        <v>8</v>
      </c>
      <c r="BF131" s="33" t="s">
        <v>6</v>
      </c>
      <c r="BG131" s="33" t="s">
        <v>381</v>
      </c>
      <c r="BH131" s="33">
        <v>0.187</v>
      </c>
      <c r="BI131" s="33">
        <v>0.27500000000000002</v>
      </c>
    </row>
    <row r="132" spans="1:82" ht="16.5" hidden="1" customHeight="1" x14ac:dyDescent="0.25">
      <c r="A132" s="51"/>
      <c r="B132" s="51"/>
      <c r="C132" s="51"/>
      <c r="D132" s="51"/>
      <c r="E132" s="51"/>
      <c r="F132" s="51"/>
      <c r="G132" s="51"/>
      <c r="H132" s="51"/>
      <c r="I132" s="51"/>
      <c r="J132" s="51"/>
      <c r="K132" s="52" t="s">
        <v>31</v>
      </c>
      <c r="L132" s="51"/>
      <c r="M132" s="51"/>
      <c r="N132" s="51"/>
      <c r="O132" s="51"/>
      <c r="P132" s="51"/>
      <c r="Q132" s="51"/>
      <c r="R132" s="51"/>
      <c r="S132" s="51"/>
      <c r="T132" s="51"/>
      <c r="U132" s="51" t="s">
        <v>117</v>
      </c>
      <c r="V132" s="51"/>
      <c r="W132" s="51"/>
      <c r="X132" s="51"/>
      <c r="Y132" s="51"/>
      <c r="Z132" s="51"/>
      <c r="AA132" s="51"/>
      <c r="AB132" s="51"/>
      <c r="AC132" s="51"/>
      <c r="AD132" s="51"/>
      <c r="AE132" s="51"/>
      <c r="AF132" s="51"/>
      <c r="AG132" s="51"/>
      <c r="AH132" s="51"/>
      <c r="AI132" s="51"/>
      <c r="AJ132" s="51"/>
      <c r="AK132" s="51" t="s">
        <v>96</v>
      </c>
      <c r="AL132" s="51"/>
      <c r="BC132" s="43" t="str">
        <f>BD132&amp;BE132&amp;BF132&amp;BG132</f>
        <v>IX = industriesneufz</v>
      </c>
      <c r="BD132" s="43" t="s">
        <v>94</v>
      </c>
      <c r="BE132" s="56" t="s">
        <v>11</v>
      </c>
      <c r="BF132" s="33" t="s">
        <v>6</v>
      </c>
      <c r="BG132" s="33" t="s">
        <v>381</v>
      </c>
      <c r="BH132" s="33">
        <v>0.187</v>
      </c>
      <c r="BI132" s="33">
        <v>0.27500000000000002</v>
      </c>
    </row>
    <row r="133" spans="1:82" ht="16.5" hidden="1" customHeight="1" x14ac:dyDescent="0.25">
      <c r="A133" s="51"/>
      <c r="B133" s="51"/>
      <c r="C133" s="51"/>
      <c r="D133" s="51"/>
      <c r="E133" s="51"/>
      <c r="F133" s="51"/>
      <c r="G133" s="51"/>
      <c r="H133" s="51"/>
      <c r="I133" s="51"/>
      <c r="J133" s="51"/>
      <c r="K133" s="52" t="s">
        <v>43</v>
      </c>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BC133" s="43" t="str">
        <f t="shared" si="1"/>
        <v>IX = industriefenneufz</v>
      </c>
      <c r="BD133" s="43" t="s">
        <v>94</v>
      </c>
      <c r="BE133" s="56" t="s">
        <v>12</v>
      </c>
      <c r="BF133" s="33" t="s">
        <v>6</v>
      </c>
      <c r="BG133" s="33" t="s">
        <v>381</v>
      </c>
      <c r="BH133" s="33" t="s">
        <v>162</v>
      </c>
      <c r="BI133" s="33" t="s">
        <v>162</v>
      </c>
    </row>
    <row r="134" spans="1:82" ht="16.5" hidden="1" customHeight="1" x14ac:dyDescent="0.25">
      <c r="A134" s="51"/>
      <c r="B134" s="51"/>
      <c r="C134" s="51"/>
      <c r="D134" s="51"/>
      <c r="E134" s="51"/>
      <c r="F134" s="51"/>
      <c r="G134" s="51"/>
      <c r="H134" s="51"/>
      <c r="I134" s="51"/>
      <c r="J134" s="51"/>
      <c r="K134" s="52" t="s">
        <v>59</v>
      </c>
      <c r="L134" s="51"/>
      <c r="M134" s="51"/>
      <c r="N134" s="51"/>
      <c r="O134" s="51"/>
      <c r="P134" s="51"/>
      <c r="Q134" s="51"/>
      <c r="R134" s="51"/>
      <c r="S134" s="51"/>
      <c r="T134" s="51"/>
      <c r="U134" s="51" t="s">
        <v>155</v>
      </c>
      <c r="V134" s="51"/>
      <c r="W134" s="51"/>
      <c r="X134" s="51"/>
      <c r="Y134" s="51"/>
      <c r="Z134" s="51"/>
      <c r="AA134" s="51"/>
      <c r="AB134" s="51"/>
      <c r="AC134" s="51"/>
      <c r="AD134" s="51"/>
      <c r="AE134" s="51"/>
      <c r="AF134" s="51"/>
      <c r="AG134" s="51"/>
      <c r="AH134" s="51"/>
      <c r="AI134" s="51"/>
      <c r="AJ134" s="51"/>
      <c r="AK134" s="51"/>
      <c r="AL134" s="51"/>
      <c r="BC134" s="43" t="str">
        <f t="shared" si="1"/>
        <v>IX = industrieportesneufz</v>
      </c>
      <c r="BD134" s="43" t="s">
        <v>94</v>
      </c>
      <c r="BE134" s="56" t="s">
        <v>15</v>
      </c>
      <c r="BF134" s="33" t="s">
        <v>6</v>
      </c>
      <c r="BG134" s="33" t="s">
        <v>381</v>
      </c>
      <c r="BH134" s="33">
        <v>1.3199999999999998</v>
      </c>
      <c r="BI134" s="33">
        <v>1.3199999999999998</v>
      </c>
    </row>
    <row r="135" spans="1:82" ht="16.5" hidden="1" customHeight="1" x14ac:dyDescent="0.25">
      <c r="A135" s="51"/>
      <c r="B135" s="51"/>
      <c r="C135" s="51"/>
      <c r="D135" s="51"/>
      <c r="E135" s="51"/>
      <c r="F135" s="51"/>
      <c r="G135" s="51"/>
      <c r="H135" s="51"/>
      <c r="I135" s="51"/>
      <c r="J135" s="51"/>
      <c r="K135" s="52" t="s">
        <v>68</v>
      </c>
      <c r="L135" s="51"/>
      <c r="M135" s="51"/>
      <c r="N135" s="51"/>
      <c r="O135" s="51"/>
      <c r="P135" s="51"/>
      <c r="Q135" s="51"/>
      <c r="R135" s="51"/>
      <c r="S135" s="51"/>
      <c r="T135" s="51"/>
      <c r="U135" s="51" t="s">
        <v>118</v>
      </c>
      <c r="V135" s="51"/>
      <c r="W135" s="51"/>
      <c r="X135" s="51"/>
      <c r="Y135" s="51"/>
      <c r="Z135" s="51"/>
      <c r="AA135" s="51"/>
      <c r="AB135" s="51"/>
      <c r="AC135" s="51"/>
      <c r="AD135" s="51"/>
      <c r="AE135" s="51"/>
      <c r="AF135" s="51"/>
      <c r="AG135" s="51"/>
      <c r="AH135" s="51"/>
      <c r="AI135" s="51"/>
      <c r="AJ135" s="51"/>
      <c r="AK135" s="51" t="s">
        <v>97</v>
      </c>
      <c r="AL135" s="51"/>
      <c r="BC135" s="43" t="str">
        <f t="shared" si="1"/>
        <v>IX = industriep343neufz</v>
      </c>
      <c r="BD135" s="43" t="s">
        <v>94</v>
      </c>
      <c r="BE135" s="56" t="s">
        <v>16</v>
      </c>
      <c r="BF135" s="33" t="s">
        <v>6</v>
      </c>
      <c r="BG135" s="33" t="s">
        <v>381</v>
      </c>
      <c r="BH135" s="33">
        <v>0.76999999999999991</v>
      </c>
      <c r="BI135" s="33">
        <v>0.76999999999999991</v>
      </c>
    </row>
    <row r="136" spans="1:82" ht="16.5" hidden="1" customHeight="1" x14ac:dyDescent="0.25">
      <c r="A136" s="51"/>
      <c r="B136" s="51"/>
      <c r="C136" s="51"/>
      <c r="D136" s="51"/>
      <c r="E136" s="51"/>
      <c r="F136" s="51"/>
      <c r="G136" s="51"/>
      <c r="H136" s="51"/>
      <c r="I136" s="51"/>
      <c r="J136" s="51"/>
      <c r="K136" s="52" t="s">
        <v>72</v>
      </c>
      <c r="L136" s="51"/>
      <c r="M136" s="51"/>
      <c r="N136" s="51"/>
      <c r="O136" s="51"/>
      <c r="P136" s="51"/>
      <c r="Q136" s="51"/>
      <c r="R136" s="51"/>
      <c r="S136" s="51"/>
      <c r="T136" s="51"/>
      <c r="U136" s="51" t="s">
        <v>119</v>
      </c>
      <c r="V136" s="51"/>
      <c r="W136" s="51"/>
      <c r="X136" s="51"/>
      <c r="Y136" s="51"/>
      <c r="Z136" s="51"/>
      <c r="AA136" s="51"/>
      <c r="AB136" s="51"/>
      <c r="AC136" s="51"/>
      <c r="AD136" s="51"/>
      <c r="AE136" s="51"/>
      <c r="AF136" s="51"/>
      <c r="AG136" s="51"/>
      <c r="AH136" s="51"/>
      <c r="AI136" s="51"/>
      <c r="AJ136" s="51"/>
      <c r="AK136" s="51" t="s">
        <v>98</v>
      </c>
      <c r="AL136" s="51"/>
      <c r="BC136" s="43" t="str">
        <f t="shared" si="1"/>
        <v>IX = industriestoresneufz</v>
      </c>
      <c r="BD136" s="43" t="s">
        <v>94</v>
      </c>
      <c r="BE136" s="56" t="s">
        <v>19</v>
      </c>
      <c r="BF136" s="33" t="s">
        <v>6</v>
      </c>
      <c r="BG136" s="33" t="s">
        <v>381</v>
      </c>
      <c r="BH136" s="33">
        <v>0.55000000000000004</v>
      </c>
      <c r="BI136" s="33">
        <v>0.55000000000000004</v>
      </c>
    </row>
    <row r="137" spans="1:82" ht="16.5" hidden="1" customHeight="1" x14ac:dyDescent="0.25">
      <c r="A137" s="51"/>
      <c r="B137" s="51"/>
      <c r="C137" s="51"/>
      <c r="D137" s="51"/>
      <c r="E137" s="51"/>
      <c r="F137" s="51"/>
      <c r="G137" s="51"/>
      <c r="H137" s="51"/>
      <c r="I137" s="51"/>
      <c r="J137" s="51"/>
      <c r="K137" s="52" t="s">
        <v>83</v>
      </c>
      <c r="L137" s="51"/>
      <c r="M137" s="51"/>
      <c r="N137" s="51"/>
      <c r="O137" s="51"/>
      <c r="P137" s="51"/>
      <c r="Q137" s="51"/>
      <c r="R137" s="51"/>
      <c r="S137" s="51"/>
      <c r="T137" s="51"/>
      <c r="U137" s="51" t="s">
        <v>120</v>
      </c>
      <c r="V137" s="51"/>
      <c r="W137" s="51"/>
      <c r="X137" s="51"/>
      <c r="Y137" s="51"/>
      <c r="Z137" s="51"/>
      <c r="AA137" s="51"/>
      <c r="AB137" s="51"/>
      <c r="AC137" s="51"/>
      <c r="AD137" s="51"/>
      <c r="AE137" s="51"/>
      <c r="AF137" s="51"/>
      <c r="AG137" s="51"/>
      <c r="AH137" s="51"/>
      <c r="AI137" s="51"/>
      <c r="AJ137" s="51"/>
      <c r="AK137" s="51" t="s">
        <v>99</v>
      </c>
      <c r="AL137" s="51"/>
      <c r="BC137" s="43" t="str">
        <f t="shared" si="1"/>
        <v>IX = industrietprénoz</v>
      </c>
      <c r="BD137" s="43" t="s">
        <v>94</v>
      </c>
      <c r="BE137" s="56" t="s">
        <v>5</v>
      </c>
      <c r="BF137" s="33" t="s">
        <v>24</v>
      </c>
      <c r="BG137" s="33" t="s">
        <v>381</v>
      </c>
      <c r="BH137" s="33">
        <v>0.27500000000000002</v>
      </c>
      <c r="BI137" s="33">
        <v>0.30800000000000005</v>
      </c>
    </row>
    <row r="138" spans="1:82" ht="16.5" hidden="1" customHeight="1" x14ac:dyDescent="0.25">
      <c r="A138" s="51"/>
      <c r="B138" s="51"/>
      <c r="C138" s="51"/>
      <c r="D138" s="51"/>
      <c r="E138" s="51"/>
      <c r="F138" s="51"/>
      <c r="G138" s="51"/>
      <c r="H138" s="51"/>
      <c r="I138" s="51"/>
      <c r="J138" s="51"/>
      <c r="K138" s="52" t="s">
        <v>86</v>
      </c>
      <c r="L138" s="51"/>
      <c r="M138" s="51"/>
      <c r="N138" s="51"/>
      <c r="O138" s="51"/>
      <c r="P138" s="51"/>
      <c r="Q138" s="51"/>
      <c r="R138" s="51"/>
      <c r="S138" s="51"/>
      <c r="T138" s="51"/>
      <c r="U138" s="51" t="s">
        <v>158</v>
      </c>
      <c r="V138" s="51"/>
      <c r="W138" s="51"/>
      <c r="X138" s="51"/>
      <c r="Y138" s="51"/>
      <c r="Z138" s="51"/>
      <c r="AA138" s="51"/>
      <c r="AB138" s="51"/>
      <c r="AC138" s="51"/>
      <c r="AD138" s="51"/>
      <c r="AE138" s="51"/>
      <c r="AF138" s="51"/>
      <c r="AG138" s="51"/>
      <c r="AH138" s="51"/>
      <c r="AI138" s="51"/>
      <c r="AJ138" s="51"/>
      <c r="AK138" s="51" t="s">
        <v>25</v>
      </c>
      <c r="AL138" s="51"/>
      <c r="BC138" s="43" t="str">
        <f>BD138&amp;BE138&amp;BF138&amp;BG138</f>
        <v>IX = industriemrénoz</v>
      </c>
      <c r="BD138" s="43" t="s">
        <v>94</v>
      </c>
      <c r="BE138" s="56" t="s">
        <v>8</v>
      </c>
      <c r="BF138" s="33" t="s">
        <v>24</v>
      </c>
      <c r="BG138" s="33" t="s">
        <v>381</v>
      </c>
      <c r="BH138" s="33">
        <v>0.27500000000000002</v>
      </c>
      <c r="BI138" s="33">
        <v>0.30800000000000005</v>
      </c>
    </row>
    <row r="139" spans="1:82" ht="16.5" hidden="1" customHeight="1" x14ac:dyDescent="0.25">
      <c r="A139" s="51"/>
      <c r="B139" s="51"/>
      <c r="C139" s="51"/>
      <c r="D139" s="51"/>
      <c r="E139" s="53"/>
      <c r="F139" s="51"/>
      <c r="G139" s="51"/>
      <c r="H139" s="51"/>
      <c r="I139" s="51"/>
      <c r="J139" s="51"/>
      <c r="K139" s="52" t="s">
        <v>94</v>
      </c>
      <c r="L139" s="51"/>
      <c r="M139" s="51"/>
      <c r="N139" s="51"/>
      <c r="O139" s="51"/>
      <c r="P139" s="51"/>
      <c r="Q139" s="51"/>
      <c r="R139" s="51"/>
      <c r="S139" s="51"/>
      <c r="T139" s="51"/>
      <c r="U139" s="51" t="s">
        <v>134</v>
      </c>
      <c r="V139" s="51"/>
      <c r="W139" s="51"/>
      <c r="X139" s="51"/>
      <c r="Y139" s="51"/>
      <c r="Z139" s="51"/>
      <c r="AA139" s="51"/>
      <c r="AB139" s="51"/>
      <c r="AC139" s="51"/>
      <c r="AD139" s="51"/>
      <c r="AE139" s="51"/>
      <c r="AF139" s="51"/>
      <c r="AG139" s="51"/>
      <c r="AH139" s="51"/>
      <c r="AI139" s="51"/>
      <c r="AJ139" s="51"/>
      <c r="AK139" s="51" t="s">
        <v>138</v>
      </c>
      <c r="AL139" s="51"/>
      <c r="BC139" s="43" t="str">
        <f>BD139&amp;BE139&amp;BF139&amp;BG139</f>
        <v>IX = industriesrénoz</v>
      </c>
      <c r="BD139" s="43" t="s">
        <v>94</v>
      </c>
      <c r="BE139" s="56" t="s">
        <v>11</v>
      </c>
      <c r="BF139" s="33" t="s">
        <v>24</v>
      </c>
      <c r="BG139" s="33" t="s">
        <v>381</v>
      </c>
      <c r="BH139" s="33">
        <v>0.27500000000000002</v>
      </c>
      <c r="BI139" s="33">
        <v>0.30800000000000005</v>
      </c>
    </row>
    <row r="140" spans="1:82" ht="16.5" hidden="1" customHeight="1" x14ac:dyDescent="0.25">
      <c r="A140" s="51"/>
      <c r="B140" s="51"/>
      <c r="C140" s="51"/>
      <c r="D140" s="51"/>
      <c r="E140" s="51"/>
      <c r="F140" s="51"/>
      <c r="G140" s="51"/>
      <c r="H140" s="51"/>
      <c r="I140" s="51"/>
      <c r="J140" s="51"/>
      <c r="K140" s="52" t="s">
        <v>100</v>
      </c>
      <c r="L140" s="51"/>
      <c r="M140" s="51"/>
      <c r="N140" s="51"/>
      <c r="O140" s="51"/>
      <c r="P140" s="51"/>
      <c r="Q140" s="51"/>
      <c r="R140" s="51"/>
      <c r="S140" s="51"/>
      <c r="T140" s="51"/>
      <c r="U140" s="51" t="s">
        <v>135</v>
      </c>
      <c r="V140" s="51"/>
      <c r="W140" s="51"/>
      <c r="X140" s="51"/>
      <c r="Y140" s="51"/>
      <c r="Z140" s="51"/>
      <c r="AA140" s="51"/>
      <c r="AB140" s="51"/>
      <c r="AC140" s="51"/>
      <c r="AD140" s="51"/>
      <c r="AE140" s="51"/>
      <c r="AF140" s="51"/>
      <c r="AG140" s="51"/>
      <c r="AH140" s="51"/>
      <c r="AI140" s="51"/>
      <c r="AJ140" s="51"/>
      <c r="AK140" s="51" t="s">
        <v>139</v>
      </c>
      <c r="AL140" s="51"/>
      <c r="BC140" s="43" t="str">
        <f t="shared" si="1"/>
        <v>IX = industriefenrénoz</v>
      </c>
      <c r="BD140" s="43" t="s">
        <v>94</v>
      </c>
      <c r="BE140" s="56" t="s">
        <v>12</v>
      </c>
      <c r="BF140" s="33" t="s">
        <v>24</v>
      </c>
      <c r="BG140" s="33" t="s">
        <v>381</v>
      </c>
      <c r="BH140" s="33" t="s">
        <v>163</v>
      </c>
      <c r="BI140" s="33" t="s">
        <v>163</v>
      </c>
    </row>
    <row r="141" spans="1:82" ht="16.5" hidden="1" customHeight="1" x14ac:dyDescent="0.25">
      <c r="A141" s="51"/>
      <c r="B141" s="51"/>
      <c r="C141" s="51"/>
      <c r="D141" s="51"/>
      <c r="E141" s="51"/>
      <c r="F141" s="51"/>
      <c r="G141" s="51"/>
      <c r="H141" s="51"/>
      <c r="I141" s="51"/>
      <c r="J141" s="51"/>
      <c r="K141" s="52" t="s">
        <v>123</v>
      </c>
      <c r="L141" s="51"/>
      <c r="M141" s="51"/>
      <c r="N141" s="51"/>
      <c r="O141" s="51"/>
      <c r="P141" s="51"/>
      <c r="Q141" s="51"/>
      <c r="R141" s="51"/>
      <c r="S141" s="51"/>
      <c r="T141" s="51"/>
      <c r="U141" s="51" t="s">
        <v>136</v>
      </c>
      <c r="V141" s="51"/>
      <c r="W141" s="51"/>
      <c r="X141" s="51"/>
      <c r="Y141" s="51"/>
      <c r="Z141" s="51"/>
      <c r="AA141" s="51"/>
      <c r="AB141" s="51"/>
      <c r="AC141" s="51"/>
      <c r="AD141" s="51"/>
      <c r="AE141" s="51"/>
      <c r="AF141" s="51"/>
      <c r="AG141" s="51"/>
      <c r="AH141" s="51"/>
      <c r="AI141" s="51"/>
      <c r="AJ141" s="51"/>
      <c r="AK141" s="51" t="s">
        <v>140</v>
      </c>
      <c r="AL141" s="51"/>
      <c r="BC141" s="43" t="str">
        <f t="shared" si="1"/>
        <v>IX = industrieportesrénoz</v>
      </c>
      <c r="BD141" s="43" t="s">
        <v>94</v>
      </c>
      <c r="BE141" s="56" t="s">
        <v>15</v>
      </c>
      <c r="BF141" s="33" t="s">
        <v>24</v>
      </c>
      <c r="BG141" s="33" t="s">
        <v>381</v>
      </c>
      <c r="BH141" s="33">
        <v>1.65</v>
      </c>
      <c r="BI141" s="33">
        <v>1.65</v>
      </c>
    </row>
    <row r="142" spans="1:82" ht="16.5" hidden="1" customHeight="1" x14ac:dyDescent="0.25">
      <c r="A142" s="51"/>
      <c r="B142" s="51"/>
      <c r="C142" s="51"/>
      <c r="D142" s="51"/>
      <c r="E142" s="51"/>
      <c r="F142" s="51"/>
      <c r="G142" s="51"/>
      <c r="H142" s="51"/>
      <c r="I142" s="51"/>
      <c r="J142" s="51"/>
      <c r="K142" s="52" t="s">
        <v>124</v>
      </c>
      <c r="L142" s="51"/>
      <c r="M142" s="51"/>
      <c r="N142" s="51"/>
      <c r="O142" s="51"/>
      <c r="P142" s="51"/>
      <c r="Q142" s="51"/>
      <c r="R142" s="51"/>
      <c r="S142" s="51"/>
      <c r="T142" s="51"/>
      <c r="U142" s="51" t="s">
        <v>137</v>
      </c>
      <c r="V142" s="51"/>
      <c r="W142" s="51"/>
      <c r="X142" s="51"/>
      <c r="Y142" s="51"/>
      <c r="Z142" s="51"/>
      <c r="AA142" s="51"/>
      <c r="AB142" s="51"/>
      <c r="AC142" s="51"/>
      <c r="AD142" s="51"/>
      <c r="AE142" s="51"/>
      <c r="AF142" s="51"/>
      <c r="AG142" s="51"/>
      <c r="AH142" s="51"/>
      <c r="AI142" s="51"/>
      <c r="AJ142" s="51"/>
      <c r="AK142" s="51" t="s">
        <v>141</v>
      </c>
      <c r="AL142" s="51"/>
      <c r="BC142" s="43" t="str">
        <f t="shared" si="1"/>
        <v>IX = industriep343rénoz</v>
      </c>
      <c r="BD142" s="43" t="s">
        <v>94</v>
      </c>
      <c r="BE142" s="56" t="s">
        <v>16</v>
      </c>
      <c r="BF142" s="33" t="s">
        <v>24</v>
      </c>
      <c r="BG142" s="33" t="s">
        <v>381</v>
      </c>
      <c r="BH142" s="33">
        <v>2.2000000000000002</v>
      </c>
      <c r="BI142" s="33">
        <v>2.2000000000000002</v>
      </c>
    </row>
    <row r="143" spans="1:82" ht="16.5" hidden="1" customHeight="1" x14ac:dyDescent="0.25">
      <c r="A143" s="51"/>
      <c r="B143" s="51"/>
      <c r="C143" s="51"/>
      <c r="D143" s="51"/>
      <c r="E143" s="51"/>
      <c r="F143" s="51"/>
      <c r="G143" s="51"/>
      <c r="H143" s="51"/>
      <c r="I143" s="51"/>
      <c r="J143" s="51"/>
      <c r="K143" s="51"/>
      <c r="L143" s="51"/>
      <c r="M143" s="51"/>
      <c r="N143" s="51"/>
      <c r="O143" s="51"/>
      <c r="P143" s="51"/>
      <c r="Q143" s="54"/>
      <c r="R143" s="51"/>
      <c r="S143" s="51"/>
      <c r="T143" s="51"/>
      <c r="U143" s="51" t="s">
        <v>173</v>
      </c>
      <c r="V143" s="51"/>
      <c r="W143" s="51"/>
      <c r="X143" s="51"/>
      <c r="Y143" s="51"/>
      <c r="Z143" s="51"/>
      <c r="AA143" s="51"/>
      <c r="AB143" s="51"/>
      <c r="AC143" s="51"/>
      <c r="AD143" s="51"/>
      <c r="AE143" s="51"/>
      <c r="AF143" s="51"/>
      <c r="AG143" s="51"/>
      <c r="AH143" s="51"/>
      <c r="AI143" s="51"/>
      <c r="AJ143" s="51"/>
      <c r="AK143" s="51" t="s">
        <v>381</v>
      </c>
      <c r="AL143" s="51"/>
      <c r="BC143" s="43" t="str">
        <f t="shared" si="1"/>
        <v>IX = industriestoresrénoz</v>
      </c>
      <c r="BD143" s="43" t="s">
        <v>94</v>
      </c>
      <c r="BE143" s="56" t="s">
        <v>19</v>
      </c>
      <c r="BF143" s="33" t="s">
        <v>24</v>
      </c>
      <c r="BG143" s="33" t="s">
        <v>381</v>
      </c>
      <c r="BH143" s="33">
        <v>0.55000000000000004</v>
      </c>
      <c r="BI143" s="33">
        <v>0.55000000000000004</v>
      </c>
      <c r="CC143" s="58"/>
      <c r="CD143" s="58"/>
    </row>
    <row r="144" spans="1:82" ht="16.5" hidden="1" customHeight="1" x14ac:dyDescent="0.25">
      <c r="A144" s="51"/>
      <c r="B144" s="51"/>
      <c r="C144" s="51"/>
      <c r="D144" s="51"/>
      <c r="E144" s="51"/>
      <c r="F144" s="51"/>
      <c r="G144" s="51"/>
      <c r="H144" s="51"/>
      <c r="I144" s="51"/>
      <c r="J144" s="51"/>
      <c r="K144" s="51" t="b">
        <f>OR($M$47=K131, $M$47=K132)</f>
        <v>0</v>
      </c>
      <c r="L144" s="51" t="s">
        <v>172</v>
      </c>
      <c r="M144" s="51"/>
      <c r="N144" s="51"/>
      <c r="O144" s="51"/>
      <c r="P144" s="51"/>
      <c r="Q144" s="54"/>
      <c r="R144" s="51"/>
      <c r="S144" s="51"/>
      <c r="T144" s="51"/>
      <c r="U144" s="51"/>
      <c r="V144" s="51"/>
      <c r="W144" s="51"/>
      <c r="X144" s="51"/>
      <c r="Y144" s="51"/>
      <c r="Z144" s="51"/>
      <c r="AA144" s="51"/>
      <c r="AB144" s="51"/>
      <c r="AC144" s="51"/>
      <c r="AD144" s="51"/>
      <c r="AE144" s="51"/>
      <c r="AF144" s="51"/>
      <c r="AG144" s="51"/>
      <c r="AH144" s="51"/>
      <c r="AI144" s="51"/>
      <c r="AJ144" s="51"/>
      <c r="AK144" s="51"/>
      <c r="AL144" s="51"/>
      <c r="BC144" s="43" t="str">
        <f t="shared" si="1"/>
        <v>X = dépôttpneufz</v>
      </c>
      <c r="BD144" s="43" t="s">
        <v>100</v>
      </c>
      <c r="BE144" s="56" t="s">
        <v>5</v>
      </c>
      <c r="BF144" s="33" t="s">
        <v>6</v>
      </c>
      <c r="BG144" s="33" t="s">
        <v>381</v>
      </c>
      <c r="BH144" s="33">
        <v>0.187</v>
      </c>
      <c r="BI144" s="33">
        <v>0.27500000000000002</v>
      </c>
      <c r="CC144" s="58"/>
      <c r="CD144" s="58"/>
    </row>
    <row r="145" spans="1:82" ht="16.5" hidden="1" customHeight="1" x14ac:dyDescent="0.25">
      <c r="A145" s="51"/>
      <c r="B145" s="51"/>
      <c r="C145" s="51"/>
      <c r="D145" s="51"/>
      <c r="E145" s="51"/>
      <c r="F145" s="51"/>
      <c r="G145" s="51"/>
      <c r="H145" s="51"/>
      <c r="I145" s="51"/>
      <c r="J145" s="51"/>
      <c r="K145" s="52" t="s">
        <v>155</v>
      </c>
      <c r="L145" s="51"/>
      <c r="M145" s="51"/>
      <c r="N145" s="51"/>
      <c r="O145" s="51"/>
      <c r="P145" s="51"/>
      <c r="Q145" s="51"/>
      <c r="R145" s="54"/>
      <c r="S145" s="54"/>
      <c r="T145" s="54"/>
      <c r="U145" s="51"/>
      <c r="V145" s="51"/>
      <c r="W145" s="51"/>
      <c r="X145" s="51"/>
      <c r="Y145" s="51"/>
      <c r="Z145" s="51"/>
      <c r="AA145" s="51"/>
      <c r="AB145" s="51"/>
      <c r="AC145" s="51"/>
      <c r="AD145" s="51"/>
      <c r="AE145" s="51"/>
      <c r="AF145" s="51"/>
      <c r="AG145" s="51"/>
      <c r="AH145" s="51"/>
      <c r="AI145" s="51"/>
      <c r="AJ145" s="51"/>
      <c r="AK145" s="51"/>
      <c r="AL145" s="51"/>
      <c r="BC145" s="43" t="str">
        <f>BD145&amp;BE145&amp;BF145&amp;BG145</f>
        <v>X = dépôtmneufz</v>
      </c>
      <c r="BD145" s="43" t="s">
        <v>100</v>
      </c>
      <c r="BE145" s="56" t="s">
        <v>8</v>
      </c>
      <c r="BF145" s="33" t="s">
        <v>6</v>
      </c>
      <c r="BG145" s="33" t="s">
        <v>381</v>
      </c>
      <c r="BH145" s="33">
        <v>0.187</v>
      </c>
      <c r="BI145" s="33">
        <v>0.27500000000000002</v>
      </c>
      <c r="CC145" s="58"/>
      <c r="CD145" s="58"/>
    </row>
    <row r="146" spans="1:82" ht="16.5" hidden="1" customHeight="1" x14ac:dyDescent="0.25">
      <c r="A146" s="51"/>
      <c r="B146" s="51"/>
      <c r="C146" s="51"/>
      <c r="D146" s="51"/>
      <c r="E146" s="51"/>
      <c r="F146" s="51"/>
      <c r="G146" s="51"/>
      <c r="H146" s="51"/>
      <c r="I146" s="51"/>
      <c r="J146" s="51"/>
      <c r="K146" s="52" t="s">
        <v>173</v>
      </c>
      <c r="L146" s="51"/>
      <c r="M146" s="51"/>
      <c r="N146" s="51"/>
      <c r="O146" s="51"/>
      <c r="P146" s="51"/>
      <c r="Q146" s="51"/>
      <c r="R146" s="54"/>
      <c r="S146" s="54"/>
      <c r="T146" s="54"/>
      <c r="U146" s="51"/>
      <c r="V146" s="51"/>
      <c r="W146" s="51"/>
      <c r="X146" s="51"/>
      <c r="Y146" s="51"/>
      <c r="Z146" s="51"/>
      <c r="AA146" s="51"/>
      <c r="AB146" s="51"/>
      <c r="AC146" s="51"/>
      <c r="AD146" s="51"/>
      <c r="AE146" s="51"/>
      <c r="AF146" s="51"/>
      <c r="AG146" s="51"/>
      <c r="AH146" s="51"/>
      <c r="AI146" s="51"/>
      <c r="AJ146" s="51"/>
      <c r="AK146" s="51"/>
      <c r="AL146" s="51"/>
      <c r="BC146" s="43" t="str">
        <f>BD146&amp;BE146&amp;BF146&amp;BG146</f>
        <v>X = dépôtsneufz</v>
      </c>
      <c r="BD146" s="43" t="s">
        <v>100</v>
      </c>
      <c r="BE146" s="56" t="s">
        <v>11</v>
      </c>
      <c r="BF146" s="33" t="s">
        <v>6</v>
      </c>
      <c r="BG146" s="33" t="s">
        <v>381</v>
      </c>
      <c r="BH146" s="33">
        <v>0.187</v>
      </c>
      <c r="BI146" s="33">
        <v>0.27500000000000002</v>
      </c>
      <c r="CC146" s="58"/>
      <c r="CD146" s="58"/>
    </row>
    <row r="147" spans="1:82" ht="16.5" hidden="1"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3" t="s">
        <v>107</v>
      </c>
      <c r="V147" s="51"/>
      <c r="W147" s="51"/>
      <c r="X147" s="51"/>
      <c r="Y147" s="51"/>
      <c r="Z147" s="51"/>
      <c r="AA147" s="51"/>
      <c r="AB147" s="51"/>
      <c r="AC147" s="51"/>
      <c r="AD147" s="51"/>
      <c r="AE147" s="51"/>
      <c r="AF147" s="51"/>
      <c r="AG147" s="51"/>
      <c r="AH147" s="51"/>
      <c r="AI147" s="51"/>
      <c r="AJ147" s="51"/>
      <c r="AK147" s="51"/>
      <c r="AL147" s="51"/>
      <c r="BC147" s="43" t="str">
        <f t="shared" si="1"/>
        <v>X = dépôtfenneufz</v>
      </c>
      <c r="BD147" s="43" t="s">
        <v>100</v>
      </c>
      <c r="BE147" s="56" t="s">
        <v>12</v>
      </c>
      <c r="BF147" s="33" t="s">
        <v>6</v>
      </c>
      <c r="BG147" s="33" t="s">
        <v>381</v>
      </c>
      <c r="BH147" s="33" t="s">
        <v>162</v>
      </c>
      <c r="BI147" s="33" t="s">
        <v>162</v>
      </c>
      <c r="CC147" s="58"/>
      <c r="CD147" s="58"/>
    </row>
    <row r="148" spans="1:82" ht="16.5" hidden="1"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t="s">
        <v>155</v>
      </c>
      <c r="V148" s="51"/>
      <c r="W148" s="51"/>
      <c r="X148" s="51"/>
      <c r="Y148" s="51"/>
      <c r="Z148" s="51"/>
      <c r="AA148" s="51"/>
      <c r="AB148" s="51"/>
      <c r="AC148" s="51"/>
      <c r="AD148" s="51"/>
      <c r="AE148" s="51"/>
      <c r="AF148" s="51"/>
      <c r="AG148" s="51"/>
      <c r="AH148" s="51"/>
      <c r="AI148" s="51"/>
      <c r="AJ148" s="51"/>
      <c r="AK148" s="51"/>
      <c r="AL148" s="51"/>
      <c r="BC148" s="43" t="str">
        <f t="shared" si="1"/>
        <v>X = dépôtportesneufz</v>
      </c>
      <c r="BD148" s="43" t="s">
        <v>100</v>
      </c>
      <c r="BE148" s="56" t="s">
        <v>15</v>
      </c>
      <c r="BF148" s="33" t="s">
        <v>6</v>
      </c>
      <c r="BG148" s="33" t="s">
        <v>381</v>
      </c>
      <c r="BH148" s="33">
        <v>1.3199999999999998</v>
      </c>
      <c r="BI148" s="33">
        <v>1.3199999999999998</v>
      </c>
      <c r="CC148" s="58"/>
      <c r="CD148" s="58"/>
    </row>
    <row r="149" spans="1:82" ht="16.5" hidden="1" customHeight="1" x14ac:dyDescent="0.25">
      <c r="A149" s="51"/>
      <c r="B149" s="51"/>
      <c r="C149" s="51"/>
      <c r="D149" s="51"/>
      <c r="E149" s="51"/>
      <c r="F149" s="51"/>
      <c r="G149" s="51"/>
      <c r="H149" s="51"/>
      <c r="I149" s="51"/>
      <c r="J149" s="51"/>
      <c r="K149" s="51"/>
      <c r="L149" s="51"/>
      <c r="M149" s="51"/>
      <c r="N149" s="51"/>
      <c r="O149" s="51"/>
      <c r="P149" s="51"/>
      <c r="Q149" s="51"/>
      <c r="R149" s="51"/>
      <c r="S149" s="51"/>
      <c r="T149" s="51"/>
      <c r="U149" s="51" t="s">
        <v>101</v>
      </c>
      <c r="V149" s="54"/>
      <c r="W149" s="54"/>
      <c r="X149" s="54"/>
      <c r="Y149" s="54"/>
      <c r="Z149" s="54"/>
      <c r="AA149" s="54"/>
      <c r="AB149" s="54"/>
      <c r="AC149" s="54"/>
      <c r="AD149" s="54"/>
      <c r="AE149" s="54"/>
      <c r="AF149" s="54"/>
      <c r="AG149" s="54"/>
      <c r="AH149" s="54"/>
      <c r="AI149" s="54"/>
      <c r="AJ149" s="54"/>
      <c r="AK149" s="55"/>
      <c r="AL149" s="51"/>
      <c r="BC149" s="43" t="str">
        <f t="shared" si="1"/>
        <v>X = dépôtp343neufz</v>
      </c>
      <c r="BD149" s="43" t="s">
        <v>100</v>
      </c>
      <c r="BE149" s="56" t="s">
        <v>16</v>
      </c>
      <c r="BF149" s="33" t="s">
        <v>6</v>
      </c>
      <c r="BG149" s="33" t="s">
        <v>381</v>
      </c>
      <c r="BH149" s="33">
        <v>0.76999999999999991</v>
      </c>
      <c r="BI149" s="33">
        <v>0.76999999999999991</v>
      </c>
      <c r="CC149" s="58"/>
      <c r="CD149" s="58"/>
    </row>
    <row r="150" spans="1:82" ht="16.5" hidden="1"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t="s">
        <v>102</v>
      </c>
      <c r="V150" s="54"/>
      <c r="W150" s="54"/>
      <c r="X150" s="54"/>
      <c r="Y150" s="54"/>
      <c r="Z150" s="54"/>
      <c r="AA150" s="54"/>
      <c r="AB150" s="54"/>
      <c r="AC150" s="54"/>
      <c r="AD150" s="54"/>
      <c r="AE150" s="54"/>
      <c r="AF150" s="54"/>
      <c r="AG150" s="54"/>
      <c r="AH150" s="54"/>
      <c r="AI150" s="54"/>
      <c r="AJ150" s="54"/>
      <c r="AK150" s="51"/>
      <c r="AL150" s="51"/>
      <c r="BC150" s="43" t="str">
        <f t="shared" si="1"/>
        <v>X = dépôtstoresneufz</v>
      </c>
      <c r="BD150" s="43" t="s">
        <v>100</v>
      </c>
      <c r="BE150" s="56" t="s">
        <v>19</v>
      </c>
      <c r="BF150" s="33" t="s">
        <v>6</v>
      </c>
      <c r="BG150" s="33" t="s">
        <v>381</v>
      </c>
      <c r="BH150" s="33">
        <v>0.55000000000000004</v>
      </c>
      <c r="BI150" s="33">
        <v>0.55000000000000004</v>
      </c>
      <c r="CC150" s="58"/>
      <c r="CD150" s="58"/>
    </row>
    <row r="151" spans="1:82" ht="16.5" hidden="1"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t="s">
        <v>41</v>
      </c>
      <c r="V151" s="51"/>
      <c r="W151" s="51"/>
      <c r="X151" s="51"/>
      <c r="Y151" s="51"/>
      <c r="Z151" s="51"/>
      <c r="AA151" s="51"/>
      <c r="AB151" s="51"/>
      <c r="AC151" s="51"/>
      <c r="AD151" s="51"/>
      <c r="AE151" s="51"/>
      <c r="AF151" s="51"/>
      <c r="AG151" s="51"/>
      <c r="AH151" s="51"/>
      <c r="AI151" s="51"/>
      <c r="AJ151" s="51"/>
      <c r="AK151" s="51"/>
      <c r="AL151" s="51"/>
      <c r="BC151" s="43" t="str">
        <f t="shared" si="1"/>
        <v>X = dépôttprénoz</v>
      </c>
      <c r="BD151" s="43" t="s">
        <v>100</v>
      </c>
      <c r="BE151" s="56" t="s">
        <v>5</v>
      </c>
      <c r="BF151" s="33" t="s">
        <v>24</v>
      </c>
      <c r="BG151" s="33" t="s">
        <v>381</v>
      </c>
      <c r="BH151" s="33">
        <v>0.27500000000000002</v>
      </c>
      <c r="BI151" s="33">
        <v>0.30800000000000005</v>
      </c>
      <c r="CC151" s="58"/>
      <c r="CD151" s="58"/>
    </row>
    <row r="152" spans="1:82" ht="16.5" hidden="1"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t="s">
        <v>103</v>
      </c>
      <c r="V152" s="51"/>
      <c r="W152" s="51"/>
      <c r="X152" s="51"/>
      <c r="Y152" s="51"/>
      <c r="Z152" s="51"/>
      <c r="AA152" s="51"/>
      <c r="AB152" s="51"/>
      <c r="AC152" s="51"/>
      <c r="AD152" s="51"/>
      <c r="AE152" s="51"/>
      <c r="AF152" s="51"/>
      <c r="AG152" s="51"/>
      <c r="AH152" s="51"/>
      <c r="AI152" s="51"/>
      <c r="AJ152" s="51"/>
      <c r="AK152" s="51"/>
      <c r="AL152" s="51"/>
      <c r="BC152" s="43" t="str">
        <f>BD152&amp;BE152&amp;BF152&amp;BG152</f>
        <v>X = dépôtmrénoz</v>
      </c>
      <c r="BD152" s="43" t="s">
        <v>100</v>
      </c>
      <c r="BE152" s="56" t="s">
        <v>8</v>
      </c>
      <c r="BF152" s="33" t="s">
        <v>24</v>
      </c>
      <c r="BG152" s="33" t="s">
        <v>381</v>
      </c>
      <c r="BH152" s="33">
        <v>0.27500000000000002</v>
      </c>
      <c r="BI152" s="33">
        <v>0.30800000000000005</v>
      </c>
      <c r="CC152" s="58"/>
      <c r="CD152" s="58"/>
    </row>
    <row r="153" spans="1:82" ht="16.5" hidden="1"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t="s">
        <v>104</v>
      </c>
      <c r="V153" s="51"/>
      <c r="W153" s="51"/>
      <c r="X153" s="51"/>
      <c r="Y153" s="51"/>
      <c r="Z153" s="51"/>
      <c r="AA153" s="51"/>
      <c r="AB153" s="51"/>
      <c r="AC153" s="51"/>
      <c r="AD153" s="51"/>
      <c r="AE153" s="51"/>
      <c r="AF153" s="51"/>
      <c r="AG153" s="51"/>
      <c r="AH153" s="51"/>
      <c r="AI153" s="51"/>
      <c r="AJ153" s="51"/>
      <c r="AK153" s="51"/>
      <c r="AL153" s="51"/>
      <c r="BC153" s="43" t="str">
        <f>BD153&amp;BE153&amp;BF153&amp;BG153</f>
        <v>X = dépôtsrénoz</v>
      </c>
      <c r="BD153" s="43" t="s">
        <v>100</v>
      </c>
      <c r="BE153" s="56" t="s">
        <v>11</v>
      </c>
      <c r="BF153" s="33" t="s">
        <v>24</v>
      </c>
      <c r="BG153" s="33" t="s">
        <v>381</v>
      </c>
      <c r="BH153" s="33">
        <v>0.27500000000000002</v>
      </c>
      <c r="BI153" s="33">
        <v>0.30800000000000005</v>
      </c>
      <c r="CC153" s="58"/>
      <c r="CD153" s="58"/>
    </row>
    <row r="154" spans="1:82" ht="16.5" hidden="1"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t="s">
        <v>108</v>
      </c>
      <c r="V154" s="51"/>
      <c r="W154" s="51"/>
      <c r="X154" s="51"/>
      <c r="Y154" s="51"/>
      <c r="Z154" s="51"/>
      <c r="AA154" s="51"/>
      <c r="AB154" s="51"/>
      <c r="AC154" s="51"/>
      <c r="AD154" s="51"/>
      <c r="AE154" s="51"/>
      <c r="AF154" s="51"/>
      <c r="AG154" s="51"/>
      <c r="AH154" s="51"/>
      <c r="AI154" s="51"/>
      <c r="AJ154" s="51"/>
      <c r="AK154" s="51"/>
      <c r="AL154" s="51"/>
      <c r="BC154" s="43" t="str">
        <f t="shared" si="1"/>
        <v>X = dépôtfenrénoz</v>
      </c>
      <c r="BD154" s="43" t="s">
        <v>100</v>
      </c>
      <c r="BE154" s="56" t="s">
        <v>12</v>
      </c>
      <c r="BF154" s="33" t="s">
        <v>24</v>
      </c>
      <c r="BG154" s="33" t="s">
        <v>381</v>
      </c>
      <c r="BH154" s="33" t="s">
        <v>163</v>
      </c>
      <c r="BI154" s="33" t="s">
        <v>163</v>
      </c>
      <c r="CC154" s="58"/>
      <c r="CD154" s="58"/>
    </row>
    <row r="155" spans="1:82" ht="16.5" hidden="1"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BC155" s="43" t="str">
        <f t="shared" si="1"/>
        <v>X = dépôtportesrénoz</v>
      </c>
      <c r="BD155" s="43" t="s">
        <v>100</v>
      </c>
      <c r="BE155" s="56" t="s">
        <v>15</v>
      </c>
      <c r="BF155" s="33" t="s">
        <v>24</v>
      </c>
      <c r="BG155" s="33" t="s">
        <v>381</v>
      </c>
      <c r="BH155" s="33">
        <v>1.65</v>
      </c>
      <c r="BI155" s="33">
        <v>1.65</v>
      </c>
      <c r="CC155" s="58"/>
      <c r="CD155" s="58"/>
    </row>
    <row r="156" spans="1:82" ht="16.5" hidden="1"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BC156" s="43" t="str">
        <f t="shared" si="1"/>
        <v>X = dépôtp343rénoz</v>
      </c>
      <c r="BD156" s="43" t="s">
        <v>100</v>
      </c>
      <c r="BE156" s="56" t="s">
        <v>16</v>
      </c>
      <c r="BF156" s="33" t="s">
        <v>24</v>
      </c>
      <c r="BG156" s="33" t="s">
        <v>381</v>
      </c>
      <c r="BH156" s="33">
        <v>2.2000000000000002</v>
      </c>
      <c r="BI156" s="33">
        <v>2.2000000000000002</v>
      </c>
      <c r="CC156" s="58"/>
      <c r="CD156" s="58"/>
    </row>
    <row r="157" spans="1:82" ht="16.5" hidden="1"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3" t="s">
        <v>107</v>
      </c>
      <c r="V157" s="51"/>
      <c r="W157" s="51"/>
      <c r="X157" s="51"/>
      <c r="Y157" s="51"/>
      <c r="Z157" s="51"/>
      <c r="AA157" s="51"/>
      <c r="AB157" s="51"/>
      <c r="AC157" s="51"/>
      <c r="AD157" s="51"/>
      <c r="AE157" s="51"/>
      <c r="AF157" s="51"/>
      <c r="AG157" s="51"/>
      <c r="AH157" s="51"/>
      <c r="AI157" s="51"/>
      <c r="AJ157" s="51"/>
      <c r="AK157" s="51"/>
      <c r="AL157" s="51"/>
      <c r="BC157" s="43" t="str">
        <f>$BD$157&amp;$BE$157&amp;$BF$157&amp;$BG$157</f>
        <v>X = dépôtstoresrénoz</v>
      </c>
      <c r="BD157" s="43" t="s">
        <v>100</v>
      </c>
      <c r="BE157" s="56" t="s">
        <v>19</v>
      </c>
      <c r="BF157" s="33" t="s">
        <v>24</v>
      </c>
      <c r="BG157" s="33" t="s">
        <v>381</v>
      </c>
      <c r="BH157" s="33">
        <v>0.55000000000000004</v>
      </c>
      <c r="BI157" s="33">
        <v>0.55000000000000004</v>
      </c>
      <c r="CC157" s="58"/>
      <c r="CD157" s="58"/>
    </row>
    <row r="158" spans="1:82" ht="16.5" hidden="1"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t="s">
        <v>155</v>
      </c>
      <c r="V158" s="51"/>
      <c r="W158" s="51"/>
      <c r="X158" s="51"/>
      <c r="Y158" s="51"/>
      <c r="Z158" s="51"/>
      <c r="AA158" s="51"/>
      <c r="AB158" s="51"/>
      <c r="AC158" s="51"/>
      <c r="AD158" s="51"/>
      <c r="AE158" s="51"/>
      <c r="AF158" s="51"/>
      <c r="AG158" s="51"/>
      <c r="AH158" s="51"/>
      <c r="AI158" s="51"/>
      <c r="AJ158" s="51"/>
      <c r="AK158" s="51"/>
      <c r="AL158" s="51"/>
      <c r="BC158" s="43" t="str">
        <f>$BD158&amp;$BE158&amp;$BF158&amp;$BG158</f>
        <v>XI = installation sportivetpneufz</v>
      </c>
      <c r="BD158" s="43" t="s">
        <v>123</v>
      </c>
      <c r="BE158" s="56" t="s">
        <v>5</v>
      </c>
      <c r="BF158" s="33" t="s">
        <v>6</v>
      </c>
      <c r="BG158" s="33" t="s">
        <v>381</v>
      </c>
      <c r="BH158" s="33">
        <v>0.187</v>
      </c>
      <c r="BI158" s="33">
        <v>0.27500000000000002</v>
      </c>
      <c r="CC158" s="58"/>
      <c r="CD158" s="58"/>
    </row>
    <row r="159" spans="1:82" ht="16.5" hidden="1"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t="s">
        <v>101</v>
      </c>
      <c r="V159" s="51"/>
      <c r="W159" s="51"/>
      <c r="X159" s="51"/>
      <c r="Y159" s="51"/>
      <c r="Z159" s="51"/>
      <c r="AA159" s="51"/>
      <c r="AB159" s="51"/>
      <c r="AC159" s="51"/>
      <c r="AD159" s="51"/>
      <c r="AE159" s="51"/>
      <c r="AF159" s="51"/>
      <c r="AG159" s="51"/>
      <c r="AH159" s="51"/>
      <c r="AI159" s="51"/>
      <c r="AJ159" s="51"/>
      <c r="AK159" s="51"/>
      <c r="AL159" s="51"/>
      <c r="BC159" s="43" t="str">
        <f t="shared" ref="BC159:BC185" si="2">$BD159&amp;$BE159&amp;$BF159&amp;$BG159</f>
        <v>XI = installation sportivemneufz</v>
      </c>
      <c r="BD159" s="43" t="s">
        <v>123</v>
      </c>
      <c r="BE159" s="56" t="s">
        <v>8</v>
      </c>
      <c r="BF159" s="33" t="s">
        <v>6</v>
      </c>
      <c r="BG159" s="33" t="s">
        <v>381</v>
      </c>
      <c r="BH159" s="33">
        <v>0.187</v>
      </c>
      <c r="BI159" s="33">
        <v>0.27500000000000002</v>
      </c>
      <c r="CC159" s="58"/>
      <c r="CD159" s="58"/>
    </row>
    <row r="160" spans="1:82" ht="16.5" hidden="1"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t="s">
        <v>102</v>
      </c>
      <c r="V160" s="51"/>
      <c r="W160" s="51"/>
      <c r="X160" s="51"/>
      <c r="Y160" s="51"/>
      <c r="Z160" s="51"/>
      <c r="AA160" s="51"/>
      <c r="AB160" s="51"/>
      <c r="AC160" s="51"/>
      <c r="AD160" s="51"/>
      <c r="AE160" s="51"/>
      <c r="AF160" s="51"/>
      <c r="AG160" s="51"/>
      <c r="AH160" s="51"/>
      <c r="AI160" s="51"/>
      <c r="AJ160" s="51"/>
      <c r="AK160" s="51"/>
      <c r="AL160" s="51"/>
      <c r="BC160" s="43" t="str">
        <f t="shared" si="2"/>
        <v>XI = installation sportivesneufz</v>
      </c>
      <c r="BD160" s="43" t="s">
        <v>123</v>
      </c>
      <c r="BE160" s="56" t="s">
        <v>11</v>
      </c>
      <c r="BF160" s="33" t="s">
        <v>6</v>
      </c>
      <c r="BG160" s="33" t="s">
        <v>381</v>
      </c>
      <c r="BH160" s="33">
        <v>0.187</v>
      </c>
      <c r="BI160" s="33">
        <v>0.27500000000000002</v>
      </c>
      <c r="CC160" s="58"/>
      <c r="CD160" s="58"/>
    </row>
    <row r="161" spans="1:82" ht="16.5" hidden="1"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t="s">
        <v>41</v>
      </c>
      <c r="V161" s="51"/>
      <c r="W161" s="51"/>
      <c r="X161" s="51"/>
      <c r="Y161" s="51"/>
      <c r="Z161" s="51"/>
      <c r="AA161" s="51"/>
      <c r="AB161" s="51"/>
      <c r="AC161" s="51"/>
      <c r="AD161" s="51"/>
      <c r="AE161" s="51"/>
      <c r="AF161" s="51"/>
      <c r="AG161" s="51"/>
      <c r="AH161" s="51"/>
      <c r="AI161" s="51"/>
      <c r="AJ161" s="51"/>
      <c r="AK161" s="51"/>
      <c r="AL161" s="51"/>
      <c r="BC161" s="43" t="str">
        <f t="shared" si="2"/>
        <v>XI = installation sportivefenneufz</v>
      </c>
      <c r="BD161" s="43" t="s">
        <v>123</v>
      </c>
      <c r="BE161" s="56" t="s">
        <v>12</v>
      </c>
      <c r="BF161" s="33" t="s">
        <v>6</v>
      </c>
      <c r="BG161" s="33" t="s">
        <v>381</v>
      </c>
      <c r="BH161" s="33" t="s">
        <v>162</v>
      </c>
      <c r="BI161" s="33" t="s">
        <v>162</v>
      </c>
      <c r="CC161" s="58"/>
      <c r="CD161" s="58"/>
    </row>
    <row r="162" spans="1:82" ht="16.5" hidden="1"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t="s">
        <v>103</v>
      </c>
      <c r="V162" s="51"/>
      <c r="W162" s="51"/>
      <c r="X162" s="51"/>
      <c r="Y162" s="51"/>
      <c r="Z162" s="51"/>
      <c r="AA162" s="51"/>
      <c r="AB162" s="51"/>
      <c r="AC162" s="51"/>
      <c r="AD162" s="51"/>
      <c r="AE162" s="51"/>
      <c r="AF162" s="51"/>
      <c r="AG162" s="51"/>
      <c r="AH162" s="51"/>
      <c r="AI162" s="51"/>
      <c r="AJ162" s="51"/>
      <c r="AK162" s="51"/>
      <c r="AL162" s="51"/>
      <c r="BC162" s="43" t="str">
        <f t="shared" si="2"/>
        <v>XI = installation sportiveportesneufz</v>
      </c>
      <c r="BD162" s="43" t="s">
        <v>123</v>
      </c>
      <c r="BE162" s="56" t="s">
        <v>15</v>
      </c>
      <c r="BF162" s="33" t="s">
        <v>6</v>
      </c>
      <c r="BG162" s="33" t="s">
        <v>381</v>
      </c>
      <c r="BH162" s="33">
        <v>1.3199999999999998</v>
      </c>
      <c r="BI162" s="33">
        <v>1.3199999999999998</v>
      </c>
      <c r="CC162" s="58"/>
      <c r="CD162" s="58"/>
    </row>
    <row r="163" spans="1:82" ht="16.5" hidden="1"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t="s">
        <v>104</v>
      </c>
      <c r="V163" s="51"/>
      <c r="W163" s="51"/>
      <c r="X163" s="51"/>
      <c r="Y163" s="51"/>
      <c r="Z163" s="51"/>
      <c r="AA163" s="51"/>
      <c r="AB163" s="51"/>
      <c r="AC163" s="51"/>
      <c r="AD163" s="51"/>
      <c r="AE163" s="51"/>
      <c r="AF163" s="51"/>
      <c r="AG163" s="51"/>
      <c r="AH163" s="51"/>
      <c r="AI163" s="51"/>
      <c r="AJ163" s="51"/>
      <c r="AK163" s="51"/>
      <c r="AL163" s="51"/>
      <c r="BC163" s="43" t="str">
        <f t="shared" si="2"/>
        <v>XI = installation sportivep343neufz</v>
      </c>
      <c r="BD163" s="43" t="s">
        <v>123</v>
      </c>
      <c r="BE163" s="56" t="s">
        <v>16</v>
      </c>
      <c r="BF163" s="33" t="s">
        <v>6</v>
      </c>
      <c r="BG163" s="33" t="s">
        <v>381</v>
      </c>
      <c r="BH163" s="33">
        <v>0.76999999999999991</v>
      </c>
      <c r="BI163" s="33">
        <v>0.76999999999999991</v>
      </c>
      <c r="CC163" s="58"/>
      <c r="CD163" s="58"/>
    </row>
    <row r="164" spans="1:82" ht="16.5" hidden="1"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t="s">
        <v>44</v>
      </c>
      <c r="V164" s="51"/>
      <c r="W164" s="51"/>
      <c r="X164" s="51"/>
      <c r="Y164" s="51"/>
      <c r="Z164" s="51"/>
      <c r="AA164" s="51"/>
      <c r="AB164" s="51"/>
      <c r="AC164" s="51"/>
      <c r="AD164" s="51"/>
      <c r="AE164" s="51"/>
      <c r="AF164" s="51"/>
      <c r="AG164" s="51"/>
      <c r="AH164" s="51"/>
      <c r="AI164" s="51"/>
      <c r="AJ164" s="51"/>
      <c r="AK164" s="51"/>
      <c r="AL164" s="51"/>
      <c r="BC164" s="43" t="str">
        <f t="shared" si="2"/>
        <v>XI = installation sportivestoresneufz</v>
      </c>
      <c r="BD164" s="43" t="s">
        <v>123</v>
      </c>
      <c r="BE164" s="56" t="s">
        <v>19</v>
      </c>
      <c r="BF164" s="33" t="s">
        <v>6</v>
      </c>
      <c r="BG164" s="33" t="s">
        <v>381</v>
      </c>
      <c r="BH164" s="33">
        <v>0.55000000000000004</v>
      </c>
      <c r="BI164" s="33">
        <v>0.55000000000000004</v>
      </c>
      <c r="CC164" s="58"/>
      <c r="CD164" s="58"/>
    </row>
    <row r="165" spans="1:82" ht="16.5" hidden="1"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t="s">
        <v>108</v>
      </c>
      <c r="V165" s="51"/>
      <c r="W165" s="51"/>
      <c r="X165" s="51"/>
      <c r="Y165" s="51"/>
      <c r="Z165" s="51"/>
      <c r="AA165" s="51"/>
      <c r="AB165" s="51"/>
      <c r="AC165" s="51"/>
      <c r="AD165" s="51"/>
      <c r="AE165" s="51"/>
      <c r="AF165" s="51"/>
      <c r="AG165" s="51"/>
      <c r="AH165" s="51"/>
      <c r="AI165" s="51"/>
      <c r="AJ165" s="51"/>
      <c r="AK165" s="51"/>
      <c r="AL165" s="51"/>
      <c r="BC165" s="43" t="str">
        <f t="shared" si="2"/>
        <v>XI = installation sportivetprénoz</v>
      </c>
      <c r="BD165" s="43" t="s">
        <v>123</v>
      </c>
      <c r="BE165" s="56" t="s">
        <v>5</v>
      </c>
      <c r="BF165" s="33" t="s">
        <v>24</v>
      </c>
      <c r="BG165" s="33" t="s">
        <v>381</v>
      </c>
      <c r="BH165" s="33">
        <v>0.27500000000000002</v>
      </c>
      <c r="BI165" s="33">
        <v>0.30800000000000005</v>
      </c>
      <c r="CC165" s="58"/>
      <c r="CD165" s="58"/>
    </row>
    <row r="166" spans="1:82" ht="16.5" hidden="1"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BC166" s="43" t="str">
        <f t="shared" si="2"/>
        <v>XI = installation sportivemrénoz</v>
      </c>
      <c r="BD166" s="43" t="s">
        <v>123</v>
      </c>
      <c r="BE166" s="56" t="s">
        <v>8</v>
      </c>
      <c r="BF166" s="33" t="s">
        <v>24</v>
      </c>
      <c r="BG166" s="33" t="s">
        <v>381</v>
      </c>
      <c r="BH166" s="33">
        <v>0.27500000000000002</v>
      </c>
      <c r="BI166" s="33">
        <v>0.30800000000000005</v>
      </c>
      <c r="CC166" s="58"/>
      <c r="CD166" s="58"/>
    </row>
    <row r="167" spans="1:82" ht="16.5" hidden="1"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BC167" s="43" t="str">
        <f t="shared" si="2"/>
        <v>XI = installation sportivesrénoz</v>
      </c>
      <c r="BD167" s="43" t="s">
        <v>123</v>
      </c>
      <c r="BE167" s="56" t="s">
        <v>11</v>
      </c>
      <c r="BF167" s="33" t="s">
        <v>24</v>
      </c>
      <c r="BG167" s="33" t="s">
        <v>381</v>
      </c>
      <c r="BH167" s="33">
        <v>0.27500000000000002</v>
      </c>
      <c r="BI167" s="33">
        <v>0.30800000000000005</v>
      </c>
      <c r="CC167" s="58"/>
      <c r="CD167" s="58"/>
    </row>
    <row r="168" spans="1:82" ht="16.5" hidden="1"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BC168" s="43" t="str">
        <f t="shared" si="2"/>
        <v>XI = installation sportivefenrénoz</v>
      </c>
      <c r="BD168" s="43" t="s">
        <v>123</v>
      </c>
      <c r="BE168" s="56" t="s">
        <v>12</v>
      </c>
      <c r="BF168" s="33" t="s">
        <v>24</v>
      </c>
      <c r="BG168" s="33" t="s">
        <v>381</v>
      </c>
      <c r="BH168" s="33" t="s">
        <v>163</v>
      </c>
      <c r="BI168" s="33" t="s">
        <v>163</v>
      </c>
      <c r="CC168" s="58"/>
      <c r="CD168" s="58"/>
    </row>
    <row r="169" spans="1:82" ht="16.5" hidden="1"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BC169" s="43" t="str">
        <f t="shared" si="2"/>
        <v>XI = installation sportiveportesrénoz</v>
      </c>
      <c r="BD169" s="43" t="s">
        <v>123</v>
      </c>
      <c r="BE169" s="56" t="s">
        <v>15</v>
      </c>
      <c r="BF169" s="33" t="s">
        <v>24</v>
      </c>
      <c r="BG169" s="33" t="s">
        <v>381</v>
      </c>
      <c r="BH169" s="33">
        <v>1.65</v>
      </c>
      <c r="BI169" s="33">
        <v>1.65</v>
      </c>
      <c r="CC169" s="58"/>
      <c r="CD169" s="58"/>
    </row>
    <row r="170" spans="1:82" ht="16.5" hidden="1"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BC170" s="43" t="str">
        <f t="shared" si="2"/>
        <v>XI = installation sportivep343rénoz</v>
      </c>
      <c r="BD170" s="43" t="s">
        <v>123</v>
      </c>
      <c r="BE170" s="56" t="s">
        <v>16</v>
      </c>
      <c r="BF170" s="33" t="s">
        <v>24</v>
      </c>
      <c r="BG170" s="33" t="s">
        <v>381</v>
      </c>
      <c r="BH170" s="33">
        <v>2.2000000000000002</v>
      </c>
      <c r="BI170" s="33">
        <v>2.2000000000000002</v>
      </c>
      <c r="CC170" s="58"/>
      <c r="CD170" s="58"/>
    </row>
    <row r="171" spans="1:82" ht="16.5" hidden="1"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BC171" s="43" t="str">
        <f t="shared" si="2"/>
        <v>XI = installation sportivestoresrénoz</v>
      </c>
      <c r="BD171" s="43" t="s">
        <v>123</v>
      </c>
      <c r="BE171" s="56" t="s">
        <v>19</v>
      </c>
      <c r="BF171" s="33" t="s">
        <v>24</v>
      </c>
      <c r="BG171" s="33" t="s">
        <v>381</v>
      </c>
      <c r="BH171" s="33">
        <v>0.55000000000000004</v>
      </c>
      <c r="BI171" s="33">
        <v>0.55000000000000004</v>
      </c>
      <c r="CC171" s="58"/>
      <c r="CD171" s="58"/>
    </row>
    <row r="172" spans="1:82" ht="16.5" hidden="1"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BC172" s="43" t="str">
        <f>$BD172&amp;$BE172&amp;$BF172&amp;$BG172</f>
        <v>XII = piscine couvertetpneufz</v>
      </c>
      <c r="BD172" s="43" t="s">
        <v>124</v>
      </c>
      <c r="BE172" s="56" t="s">
        <v>5</v>
      </c>
      <c r="BF172" s="33" t="s">
        <v>6</v>
      </c>
      <c r="BG172" s="33" t="s">
        <v>381</v>
      </c>
      <c r="BH172" s="33">
        <v>0.10200000000000001</v>
      </c>
      <c r="BI172" s="33">
        <v>0.15</v>
      </c>
      <c r="CC172" s="58"/>
      <c r="CD172" s="58"/>
    </row>
    <row r="173" spans="1:82" ht="16.5" hidden="1"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BC173" s="43" t="str">
        <f t="shared" si="2"/>
        <v>XII = piscine couvertemneufz</v>
      </c>
      <c r="BD173" s="43" t="s">
        <v>124</v>
      </c>
      <c r="BE173" s="56" t="s">
        <v>8</v>
      </c>
      <c r="BF173" s="33" t="s">
        <v>6</v>
      </c>
      <c r="BG173" s="33" t="s">
        <v>381</v>
      </c>
      <c r="BH173" s="33">
        <v>0.10200000000000001</v>
      </c>
      <c r="BI173" s="33">
        <v>0.15</v>
      </c>
      <c r="CC173" s="58"/>
      <c r="CD173" s="58"/>
    </row>
    <row r="174" spans="1:82" ht="16.5" hidden="1"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BC174" s="43" t="str">
        <f t="shared" si="2"/>
        <v>XII = piscine couvertesneufz</v>
      </c>
      <c r="BD174" s="43" t="s">
        <v>124</v>
      </c>
      <c r="BE174" s="56" t="s">
        <v>11</v>
      </c>
      <c r="BF174" s="33" t="s">
        <v>6</v>
      </c>
      <c r="BG174" s="33" t="s">
        <v>381</v>
      </c>
      <c r="BH174" s="33">
        <v>0.10200000000000001</v>
      </c>
      <c r="BI174" s="33">
        <v>0.15</v>
      </c>
      <c r="CC174" s="58"/>
      <c r="CD174" s="58"/>
    </row>
    <row r="175" spans="1:82" ht="16.5" hidden="1"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BC175" s="43" t="str">
        <f t="shared" si="2"/>
        <v>XII = piscine couvertefenneufz</v>
      </c>
      <c r="BD175" s="43" t="s">
        <v>124</v>
      </c>
      <c r="BE175" s="56" t="s">
        <v>12</v>
      </c>
      <c r="BF175" s="33" t="s">
        <v>6</v>
      </c>
      <c r="BG175" s="33" t="s">
        <v>381</v>
      </c>
      <c r="BH175" s="33" t="s">
        <v>147</v>
      </c>
      <c r="BI175" s="33" t="s">
        <v>147</v>
      </c>
      <c r="CC175" s="58"/>
      <c r="CD175" s="58"/>
    </row>
    <row r="176" spans="1:82" ht="16.5" hidden="1"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BC176" s="43" t="str">
        <f t="shared" si="2"/>
        <v>XII = piscine couverteportesneufz</v>
      </c>
      <c r="BD176" s="43" t="s">
        <v>124</v>
      </c>
      <c r="BE176" s="56" t="s">
        <v>15</v>
      </c>
      <c r="BF176" s="33" t="s">
        <v>6</v>
      </c>
      <c r="BG176" s="33" t="s">
        <v>381</v>
      </c>
      <c r="BH176" s="33">
        <v>0.8</v>
      </c>
      <c r="BI176" s="33">
        <v>0.8</v>
      </c>
      <c r="CC176" s="58"/>
      <c r="CD176" s="58"/>
    </row>
    <row r="177" spans="1:82" ht="16.5" hidden="1"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BC177" s="43" t="str">
        <f t="shared" si="2"/>
        <v>XII = piscine couvertep343neufz</v>
      </c>
      <c r="BD177" s="43" t="s">
        <v>124</v>
      </c>
      <c r="BE177" s="56" t="s">
        <v>16</v>
      </c>
      <c r="BF177" s="33" t="s">
        <v>6</v>
      </c>
      <c r="BG177" s="33" t="s">
        <v>381</v>
      </c>
      <c r="BH177" s="33">
        <v>0.8</v>
      </c>
      <c r="BI177" s="33">
        <v>0.8</v>
      </c>
      <c r="CC177" s="58"/>
      <c r="CD177" s="58"/>
    </row>
    <row r="178" spans="1:82" ht="16.5" hidden="1"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BC178" s="43" t="str">
        <f t="shared" si="2"/>
        <v>XII = piscine couvertestoresneufz</v>
      </c>
      <c r="BD178" s="43" t="s">
        <v>124</v>
      </c>
      <c r="BE178" s="56" t="s">
        <v>19</v>
      </c>
      <c r="BF178" s="33" t="s">
        <v>6</v>
      </c>
      <c r="BG178" s="33" t="s">
        <v>381</v>
      </c>
      <c r="BH178" s="33">
        <v>0.3</v>
      </c>
      <c r="BI178" s="33">
        <v>0.3</v>
      </c>
      <c r="CC178" s="58"/>
      <c r="CD178" s="58"/>
    </row>
    <row r="179" spans="1:82" ht="16.5" hidden="1"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BC179" s="43" t="str">
        <f t="shared" si="2"/>
        <v>XII = piscine couvertetprénoz</v>
      </c>
      <c r="BD179" s="43" t="s">
        <v>124</v>
      </c>
      <c r="BE179" s="56" t="s">
        <v>5</v>
      </c>
      <c r="BF179" s="33" t="s">
        <v>24</v>
      </c>
      <c r="BG179" s="33" t="s">
        <v>381</v>
      </c>
      <c r="BH179" s="33">
        <v>0.15</v>
      </c>
      <c r="BI179" s="33">
        <v>0.16800000000000001</v>
      </c>
      <c r="CC179" s="58"/>
      <c r="CD179" s="58"/>
    </row>
    <row r="180" spans="1:82" ht="16.5" hidden="1"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BC180" s="43" t="str">
        <f t="shared" si="2"/>
        <v>XII = piscine couvertemrénoz</v>
      </c>
      <c r="BD180" s="43" t="s">
        <v>124</v>
      </c>
      <c r="BE180" s="56" t="s">
        <v>8</v>
      </c>
      <c r="BF180" s="33" t="s">
        <v>24</v>
      </c>
      <c r="BG180" s="33" t="s">
        <v>381</v>
      </c>
      <c r="BH180" s="33">
        <v>0.15</v>
      </c>
      <c r="BI180" s="33">
        <v>0.16800000000000001</v>
      </c>
      <c r="CC180" s="58"/>
      <c r="CD180" s="58"/>
    </row>
    <row r="181" spans="1:82" ht="16.5" hidden="1"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BC181" s="43" t="str">
        <f t="shared" si="2"/>
        <v>XII = piscine couvertesrénoz</v>
      </c>
      <c r="BD181" s="43" t="s">
        <v>124</v>
      </c>
      <c r="BE181" s="56" t="s">
        <v>11</v>
      </c>
      <c r="BF181" s="33" t="s">
        <v>24</v>
      </c>
      <c r="BG181" s="33" t="s">
        <v>381</v>
      </c>
      <c r="BH181" s="33">
        <v>0.15</v>
      </c>
      <c r="BI181" s="33">
        <v>0.16800000000000001</v>
      </c>
      <c r="CC181" s="58"/>
      <c r="CD181" s="58"/>
    </row>
    <row r="182" spans="1:82" ht="16.5" hidden="1"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BC182" s="43" t="str">
        <f t="shared" si="2"/>
        <v>XII = piscine couvertefenrénoz</v>
      </c>
      <c r="BD182" s="43" t="s">
        <v>124</v>
      </c>
      <c r="BE182" s="56" t="s">
        <v>12</v>
      </c>
      <c r="BF182" s="33" t="s">
        <v>24</v>
      </c>
      <c r="BG182" s="33" t="s">
        <v>381</v>
      </c>
      <c r="BH182" s="33" t="s">
        <v>147</v>
      </c>
      <c r="BI182" s="33" t="s">
        <v>147</v>
      </c>
      <c r="CC182" s="58"/>
      <c r="CD182" s="58"/>
    </row>
    <row r="183" spans="1:82" ht="16.5" hidden="1"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BC183" s="43" t="str">
        <f t="shared" si="2"/>
        <v>XII = piscine couverteportesrénoz</v>
      </c>
      <c r="BD183" s="43" t="s">
        <v>124</v>
      </c>
      <c r="BE183" s="56" t="s">
        <v>15</v>
      </c>
      <c r="BF183" s="33" t="s">
        <v>24</v>
      </c>
      <c r="BG183" s="33" t="s">
        <v>381</v>
      </c>
      <c r="BH183" s="33">
        <v>0.89999999999999991</v>
      </c>
      <c r="BI183" s="33">
        <v>0.89999999999999991</v>
      </c>
      <c r="CC183" s="58"/>
      <c r="CD183" s="58"/>
    </row>
    <row r="184" spans="1:82" ht="16.5" hidden="1"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BC184" s="43" t="str">
        <f t="shared" si="2"/>
        <v>XII = piscine couvertep343rénoz</v>
      </c>
      <c r="BD184" s="43" t="s">
        <v>124</v>
      </c>
      <c r="BE184" s="56" t="s">
        <v>16</v>
      </c>
      <c r="BF184" s="33" t="s">
        <v>24</v>
      </c>
      <c r="BG184" s="33" t="s">
        <v>381</v>
      </c>
      <c r="BH184" s="33">
        <v>1.2</v>
      </c>
      <c r="BI184" s="33">
        <v>1.2</v>
      </c>
      <c r="CC184" s="58"/>
      <c r="CD184" s="58"/>
    </row>
    <row r="185" spans="1:82" ht="16.5" hidden="1"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BC185" s="43" t="str">
        <f t="shared" si="2"/>
        <v>XII = piscine couvertestoresrénoz</v>
      </c>
      <c r="BD185" s="43" t="s">
        <v>124</v>
      </c>
      <c r="BE185" s="56" t="s">
        <v>19</v>
      </c>
      <c r="BF185" s="33" t="s">
        <v>24</v>
      </c>
      <c r="BG185" s="33" t="s">
        <v>381</v>
      </c>
      <c r="BH185" s="33">
        <v>0.3</v>
      </c>
      <c r="BI185" s="33">
        <v>0.3</v>
      </c>
      <c r="CC185" s="58"/>
      <c r="CD185" s="58"/>
    </row>
    <row r="186" spans="1:82" ht="27.75" hidden="1" customHeight="1" x14ac:dyDescent="0.2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BC186" s="43" t="str">
        <f t="shared" si="1"/>
        <v>I = habitat collectiftpneufssb</v>
      </c>
      <c r="BD186" s="43" t="s">
        <v>4</v>
      </c>
      <c r="BE186" s="56" t="s">
        <v>5</v>
      </c>
      <c r="BF186" s="33" t="s">
        <v>6</v>
      </c>
      <c r="BG186" s="33" t="s">
        <v>95</v>
      </c>
      <c r="BH186" s="33">
        <v>0.15</v>
      </c>
      <c r="BI186" s="33">
        <v>0.25</v>
      </c>
      <c r="CC186" s="58"/>
      <c r="CD186" s="58"/>
    </row>
    <row r="187" spans="1:82" ht="16.5" hidden="1" customHeight="1" x14ac:dyDescent="0.25">
      <c r="R187" s="51"/>
      <c r="S187" s="51"/>
      <c r="T187" s="51"/>
      <c r="U187" s="51"/>
      <c r="V187" s="51"/>
      <c r="W187" s="51"/>
      <c r="X187" s="51"/>
      <c r="Y187" s="51"/>
      <c r="Z187" s="51"/>
      <c r="AA187" s="51"/>
      <c r="AB187" s="51"/>
      <c r="AC187" s="51"/>
      <c r="AD187" s="51"/>
      <c r="AE187" s="51"/>
      <c r="AF187" s="51"/>
      <c r="AG187" s="51"/>
      <c r="AH187" s="51"/>
      <c r="AI187" s="51"/>
      <c r="AJ187" s="51"/>
      <c r="AK187" s="51"/>
      <c r="AL187" s="51"/>
      <c r="BC187" s="43" t="str">
        <f t="shared" si="1"/>
        <v>I = habitat collectifmneufssb</v>
      </c>
      <c r="BD187" s="43" t="s">
        <v>4</v>
      </c>
      <c r="BE187" s="56" t="s">
        <v>8</v>
      </c>
      <c r="BF187" s="33" t="s">
        <v>6</v>
      </c>
      <c r="BG187" s="33" t="s">
        <v>95</v>
      </c>
      <c r="BH187" s="33">
        <v>0.15</v>
      </c>
      <c r="BI187" s="33">
        <v>0.25</v>
      </c>
      <c r="CC187" s="58"/>
      <c r="CD187" s="58"/>
    </row>
    <row r="188" spans="1:82" ht="16.5" hidden="1" customHeight="1" x14ac:dyDescent="0.25">
      <c r="R188" s="51"/>
      <c r="S188" s="51"/>
      <c r="T188" s="51"/>
      <c r="U188" s="51"/>
      <c r="V188" s="51"/>
      <c r="W188" s="51"/>
      <c r="X188" s="51"/>
      <c r="Y188" s="51"/>
      <c r="Z188" s="51"/>
      <c r="AA188" s="51"/>
      <c r="AB188" s="51"/>
      <c r="AC188" s="51"/>
      <c r="AD188" s="51"/>
      <c r="AE188" s="51"/>
      <c r="AF188" s="51"/>
      <c r="AG188" s="51"/>
      <c r="AH188" s="51"/>
      <c r="AI188" s="51"/>
      <c r="AJ188" s="51"/>
      <c r="AK188" s="51"/>
      <c r="AL188" s="51"/>
      <c r="BC188" s="43" t="str">
        <f t="shared" si="1"/>
        <v>I = habitat collectifsneufssb</v>
      </c>
      <c r="BD188" s="43" t="s">
        <v>4</v>
      </c>
      <c r="BE188" s="56" t="s">
        <v>11</v>
      </c>
      <c r="BF188" s="33" t="s">
        <v>6</v>
      </c>
      <c r="BG188" s="33" t="s">
        <v>95</v>
      </c>
      <c r="BH188" s="33">
        <v>0.15</v>
      </c>
      <c r="BI188" s="33">
        <v>0.25</v>
      </c>
      <c r="CC188" s="58"/>
      <c r="CD188" s="58"/>
    </row>
    <row r="189" spans="1:82" ht="16.5" hidden="1" customHeight="1" x14ac:dyDescent="0.25">
      <c r="N189" s="45"/>
      <c r="O189" s="45"/>
      <c r="U189" s="51"/>
      <c r="V189" s="51"/>
      <c r="W189" s="51"/>
      <c r="X189" s="51"/>
      <c r="Y189" s="51"/>
      <c r="Z189" s="51"/>
      <c r="AA189" s="51"/>
      <c r="AB189" s="51"/>
      <c r="AC189" s="51"/>
      <c r="AD189" s="51"/>
      <c r="AE189" s="51"/>
      <c r="AF189" s="51"/>
      <c r="AG189" s="51"/>
      <c r="AH189" s="51"/>
      <c r="AI189" s="51"/>
      <c r="AJ189" s="51"/>
      <c r="AK189" s="51"/>
      <c r="AL189" s="51"/>
      <c r="BC189" s="43" t="str">
        <f t="shared" si="1"/>
        <v>I = habitat collectiffenneufssb</v>
      </c>
      <c r="BD189" s="43" t="s">
        <v>4</v>
      </c>
      <c r="BE189" s="56" t="s">
        <v>12</v>
      </c>
      <c r="BF189" s="33" t="s">
        <v>6</v>
      </c>
      <c r="BG189" s="33" t="s">
        <v>95</v>
      </c>
      <c r="BH189" s="33" t="s">
        <v>145</v>
      </c>
      <c r="BI189" s="33" t="s">
        <v>146</v>
      </c>
      <c r="CC189" s="58"/>
      <c r="CD189" s="58"/>
    </row>
    <row r="190" spans="1:82" ht="16.5" hidden="1" customHeight="1" x14ac:dyDescent="0.25">
      <c r="N190" s="45"/>
      <c r="O190" s="45"/>
      <c r="P190" s="46"/>
      <c r="Q190" s="46"/>
      <c r="U190" s="51"/>
      <c r="V190" s="51"/>
      <c r="W190" s="51"/>
      <c r="X190" s="51"/>
      <c r="Y190" s="51"/>
      <c r="Z190" s="51"/>
      <c r="AA190" s="51"/>
      <c r="AB190" s="51"/>
      <c r="AC190" s="51"/>
      <c r="AD190" s="51"/>
      <c r="AE190" s="51"/>
      <c r="AF190" s="51"/>
      <c r="AG190" s="51"/>
      <c r="AH190" s="51"/>
      <c r="AI190" s="51"/>
      <c r="AJ190" s="51"/>
      <c r="AK190" s="51"/>
      <c r="AL190" s="51"/>
      <c r="BC190" s="43" t="str">
        <f t="shared" si="1"/>
        <v>I = habitat collectifportesneufssb</v>
      </c>
      <c r="BD190" s="43" t="s">
        <v>4</v>
      </c>
      <c r="BE190" s="56" t="s">
        <v>15</v>
      </c>
      <c r="BF190" s="33" t="s">
        <v>6</v>
      </c>
      <c r="BG190" s="33" t="s">
        <v>95</v>
      </c>
      <c r="BH190" s="33">
        <v>1.2</v>
      </c>
      <c r="BI190" s="33">
        <v>1.5</v>
      </c>
      <c r="CC190" s="58"/>
      <c r="CD190" s="58"/>
    </row>
    <row r="191" spans="1:82" ht="16.5" hidden="1" customHeight="1" x14ac:dyDescent="0.25">
      <c r="K191" s="45"/>
      <c r="L191" s="45"/>
      <c r="M191" s="45"/>
      <c r="U191" s="51"/>
      <c r="V191" s="51"/>
      <c r="W191" s="51"/>
      <c r="X191" s="51"/>
      <c r="Y191" s="51"/>
      <c r="Z191" s="51"/>
      <c r="AA191" s="51"/>
      <c r="AB191" s="51"/>
      <c r="AC191" s="51"/>
      <c r="AD191" s="51"/>
      <c r="AE191" s="51"/>
      <c r="AF191" s="51"/>
      <c r="AG191" s="51"/>
      <c r="AH191" s="51"/>
      <c r="AI191" s="51"/>
      <c r="AJ191" s="51"/>
      <c r="AK191" s="51"/>
      <c r="AL191" s="51"/>
      <c r="BC191" s="43" t="str">
        <f t="shared" si="1"/>
        <v>I = habitat collectifp343neufssb</v>
      </c>
      <c r="BD191" s="43" t="s">
        <v>4</v>
      </c>
      <c r="BE191" s="56" t="s">
        <v>16</v>
      </c>
      <c r="BF191" s="33" t="s">
        <v>6</v>
      </c>
      <c r="BG191" s="33" t="s">
        <v>95</v>
      </c>
      <c r="BH191" s="33">
        <v>1.7</v>
      </c>
      <c r="BI191" s="33">
        <v>2</v>
      </c>
      <c r="CC191" s="58"/>
      <c r="CD191" s="58"/>
    </row>
    <row r="192" spans="1:82" ht="16.5" hidden="1" customHeight="1" x14ac:dyDescent="0.25">
      <c r="M192" s="45"/>
      <c r="R192" s="46"/>
      <c r="S192" s="46"/>
      <c r="T192" s="46"/>
      <c r="U192" s="51"/>
      <c r="V192" s="51"/>
      <c r="W192" s="51"/>
      <c r="X192" s="51"/>
      <c r="Y192" s="51"/>
      <c r="Z192" s="51"/>
      <c r="AA192" s="51"/>
      <c r="AB192" s="51"/>
      <c r="AC192" s="51"/>
      <c r="AD192" s="51"/>
      <c r="AE192" s="51"/>
      <c r="AF192" s="51"/>
      <c r="AG192" s="51"/>
      <c r="AH192" s="51"/>
      <c r="AI192" s="51"/>
      <c r="AJ192" s="51"/>
      <c r="AK192" s="51"/>
      <c r="AL192" s="51"/>
      <c r="BC192" s="43" t="str">
        <f t="shared" si="1"/>
        <v>I = habitat collectifstoresneufssb</v>
      </c>
      <c r="BD192" s="43" t="s">
        <v>4</v>
      </c>
      <c r="BE192" s="56" t="s">
        <v>19</v>
      </c>
      <c r="BF192" s="33" t="s">
        <v>6</v>
      </c>
      <c r="BG192" s="33" t="s">
        <v>95</v>
      </c>
      <c r="BH192" s="33">
        <v>0.5</v>
      </c>
      <c r="BI192" s="33">
        <v>0.5</v>
      </c>
      <c r="CC192" s="58"/>
      <c r="CD192" s="58"/>
    </row>
    <row r="193" spans="30:82" ht="16.5" hidden="1" customHeight="1" x14ac:dyDescent="0.25">
      <c r="AD193" s="44"/>
      <c r="BC193" s="43" t="str">
        <f t="shared" si="1"/>
        <v>II = habitat individueltpneufssb</v>
      </c>
      <c r="BD193" s="43" t="s">
        <v>31</v>
      </c>
      <c r="BE193" s="56" t="s">
        <v>5</v>
      </c>
      <c r="BF193" s="33" t="s">
        <v>6</v>
      </c>
      <c r="BG193" s="33" t="s">
        <v>95</v>
      </c>
      <c r="BH193" s="33">
        <v>0.15</v>
      </c>
      <c r="BI193" s="33">
        <v>0.25</v>
      </c>
      <c r="CC193" s="58"/>
      <c r="CD193" s="58"/>
    </row>
    <row r="194" spans="30:82" ht="16.5" hidden="1" customHeight="1" x14ac:dyDescent="0.25">
      <c r="AD194" s="44"/>
      <c r="BC194" s="43" t="str">
        <f t="shared" si="1"/>
        <v>II = habitat individuelmneufssb</v>
      </c>
      <c r="BD194" s="43" t="s">
        <v>31</v>
      </c>
      <c r="BE194" s="56" t="s">
        <v>8</v>
      </c>
      <c r="BF194" s="33" t="s">
        <v>6</v>
      </c>
      <c r="BG194" s="33" t="s">
        <v>95</v>
      </c>
      <c r="BH194" s="33">
        <v>0.15</v>
      </c>
      <c r="BI194" s="33">
        <v>0.25</v>
      </c>
      <c r="CC194" s="58"/>
      <c r="CD194" s="58"/>
    </row>
    <row r="195" spans="30:82" ht="16.5" hidden="1" customHeight="1" x14ac:dyDescent="0.25">
      <c r="AD195" s="44"/>
      <c r="BC195" s="43" t="str">
        <f t="shared" si="1"/>
        <v>II = habitat individuelsneufssb</v>
      </c>
      <c r="BD195" s="43" t="s">
        <v>31</v>
      </c>
      <c r="BE195" s="56" t="s">
        <v>11</v>
      </c>
      <c r="BF195" s="33" t="s">
        <v>6</v>
      </c>
      <c r="BG195" s="33" t="s">
        <v>95</v>
      </c>
      <c r="BH195" s="33">
        <v>0.15</v>
      </c>
      <c r="BI195" s="33">
        <v>0.25</v>
      </c>
      <c r="CC195" s="58"/>
      <c r="CD195" s="58"/>
    </row>
    <row r="196" spans="30:82" ht="16.5" hidden="1" customHeight="1" x14ac:dyDescent="0.25">
      <c r="AD196" s="44"/>
      <c r="BC196" s="43" t="str">
        <f t="shared" si="1"/>
        <v>II = habitat individuelfenneufssb</v>
      </c>
      <c r="BD196" s="43" t="s">
        <v>31</v>
      </c>
      <c r="BE196" s="56" t="s">
        <v>12</v>
      </c>
      <c r="BF196" s="33" t="s">
        <v>6</v>
      </c>
      <c r="BG196" s="33" t="s">
        <v>95</v>
      </c>
      <c r="BH196" s="33" t="s">
        <v>145</v>
      </c>
      <c r="BI196" s="33" t="s">
        <v>146</v>
      </c>
      <c r="CC196" s="58"/>
      <c r="CD196" s="58"/>
    </row>
    <row r="197" spans="30:82" ht="16.5" hidden="1" customHeight="1" x14ac:dyDescent="0.25">
      <c r="BC197" s="43" t="str">
        <f t="shared" si="1"/>
        <v>II = habitat individuelportesneufssb</v>
      </c>
      <c r="BD197" s="43" t="s">
        <v>31</v>
      </c>
      <c r="BE197" s="56" t="s">
        <v>15</v>
      </c>
      <c r="BF197" s="33" t="s">
        <v>6</v>
      </c>
      <c r="BG197" s="33" t="s">
        <v>95</v>
      </c>
      <c r="BH197" s="33">
        <v>1.2</v>
      </c>
      <c r="BI197" s="33">
        <v>1.5</v>
      </c>
      <c r="CC197" s="58"/>
      <c r="CD197" s="58"/>
    </row>
    <row r="198" spans="30:82" ht="16.5" hidden="1" customHeight="1" x14ac:dyDescent="0.25">
      <c r="BC198" s="43" t="str">
        <f t="shared" si="1"/>
        <v>II = habitat individuelp343neufssb</v>
      </c>
      <c r="BD198" s="43" t="s">
        <v>31</v>
      </c>
      <c r="BE198" s="56" t="s">
        <v>16</v>
      </c>
      <c r="BF198" s="33" t="s">
        <v>6</v>
      </c>
      <c r="BG198" s="33" t="s">
        <v>95</v>
      </c>
      <c r="BH198" s="33">
        <v>1.7</v>
      </c>
      <c r="BI198" s="33">
        <v>2</v>
      </c>
      <c r="CC198" s="58"/>
      <c r="CD198" s="58"/>
    </row>
    <row r="199" spans="30:82" ht="16.5" hidden="1" customHeight="1" x14ac:dyDescent="0.25">
      <c r="BC199" s="43" t="str">
        <f t="shared" si="1"/>
        <v>II = habitat individuelstoresneufssb</v>
      </c>
      <c r="BD199" s="43" t="s">
        <v>31</v>
      </c>
      <c r="BE199" s="56" t="s">
        <v>19</v>
      </c>
      <c r="BF199" s="33" t="s">
        <v>6</v>
      </c>
      <c r="BG199" s="33" t="s">
        <v>95</v>
      </c>
      <c r="BH199" s="33">
        <v>0.5</v>
      </c>
      <c r="BI199" s="33">
        <v>0.5</v>
      </c>
      <c r="CC199" s="58"/>
      <c r="CD199" s="58"/>
    </row>
    <row r="200" spans="30:82" ht="16.5" hidden="1" customHeight="1" x14ac:dyDescent="0.25">
      <c r="BC200" s="43" t="str">
        <f t="shared" si="1"/>
        <v>I = habitat collectiftpneufssc</v>
      </c>
      <c r="BD200" s="43" t="s">
        <v>4</v>
      </c>
      <c r="BE200" s="56" t="s">
        <v>5</v>
      </c>
      <c r="BF200" s="33" t="s">
        <v>6</v>
      </c>
      <c r="BG200" s="33" t="s">
        <v>96</v>
      </c>
      <c r="BH200" s="33">
        <v>0.15</v>
      </c>
      <c r="BI200" s="33">
        <v>0.25</v>
      </c>
      <c r="CC200" s="58"/>
      <c r="CD200" s="58"/>
    </row>
    <row r="201" spans="30:82" ht="16.5" hidden="1" customHeight="1" x14ac:dyDescent="0.25">
      <c r="BC201" s="43" t="str">
        <f t="shared" ref="BC201:BC264" si="3">BD201&amp;BE201&amp;BF201&amp;BG201</f>
        <v>I = habitat collectifmneufssc</v>
      </c>
      <c r="BD201" s="43" t="s">
        <v>4</v>
      </c>
      <c r="BE201" s="56" t="s">
        <v>8</v>
      </c>
      <c r="BF201" s="33" t="s">
        <v>6</v>
      </c>
      <c r="BG201" s="33" t="s">
        <v>96</v>
      </c>
      <c r="BH201" s="33">
        <v>0.15</v>
      </c>
      <c r="BI201" s="33">
        <v>0.25</v>
      </c>
      <c r="CC201" s="58"/>
      <c r="CD201" s="58"/>
    </row>
    <row r="202" spans="30:82" ht="16.5" hidden="1" customHeight="1" x14ac:dyDescent="0.25">
      <c r="BC202" s="43" t="str">
        <f t="shared" si="3"/>
        <v>I = habitat collectifsneufssc</v>
      </c>
      <c r="BD202" s="43" t="s">
        <v>4</v>
      </c>
      <c r="BE202" s="56" t="s">
        <v>11</v>
      </c>
      <c r="BF202" s="33" t="s">
        <v>6</v>
      </c>
      <c r="BG202" s="33" t="s">
        <v>96</v>
      </c>
      <c r="BH202" s="33">
        <v>0.15</v>
      </c>
      <c r="BI202" s="33">
        <v>0.25</v>
      </c>
      <c r="CC202" s="58"/>
      <c r="CD202" s="58"/>
    </row>
    <row r="203" spans="30:82" ht="16.5" hidden="1" customHeight="1" x14ac:dyDescent="0.25">
      <c r="BC203" s="43" t="str">
        <f t="shared" si="3"/>
        <v>I = habitat collectiffenneufssc</v>
      </c>
      <c r="BD203" s="43" t="s">
        <v>4</v>
      </c>
      <c r="BE203" s="56" t="s">
        <v>12</v>
      </c>
      <c r="BF203" s="33" t="s">
        <v>6</v>
      </c>
      <c r="BG203" s="33" t="s">
        <v>96</v>
      </c>
      <c r="BH203" s="33" t="s">
        <v>147</v>
      </c>
      <c r="BI203" s="33" t="s">
        <v>146</v>
      </c>
      <c r="CC203" s="58"/>
      <c r="CD203" s="58"/>
    </row>
    <row r="204" spans="30:82" ht="16.5" hidden="1" customHeight="1" x14ac:dyDescent="0.25">
      <c r="BC204" s="43" t="str">
        <f t="shared" si="3"/>
        <v>I = habitat collectifportesneufssc</v>
      </c>
      <c r="BD204" s="43" t="s">
        <v>4</v>
      </c>
      <c r="BE204" s="56" t="s">
        <v>15</v>
      </c>
      <c r="BF204" s="33" t="s">
        <v>6</v>
      </c>
      <c r="BG204" s="33" t="s">
        <v>96</v>
      </c>
      <c r="BH204" s="33">
        <v>1.2</v>
      </c>
      <c r="BI204" s="33">
        <v>1.5</v>
      </c>
      <c r="CC204" s="58"/>
      <c r="CD204" s="58"/>
    </row>
    <row r="205" spans="30:82" ht="16.5" hidden="1" customHeight="1" x14ac:dyDescent="0.25">
      <c r="BC205" s="43" t="str">
        <f t="shared" si="3"/>
        <v>I = habitat collectifp343neufssc</v>
      </c>
      <c r="BD205" s="43" t="s">
        <v>4</v>
      </c>
      <c r="BE205" s="56" t="s">
        <v>16</v>
      </c>
      <c r="BF205" s="33" t="s">
        <v>6</v>
      </c>
      <c r="BG205" s="33" t="s">
        <v>96</v>
      </c>
      <c r="BH205" s="33">
        <v>1.7</v>
      </c>
      <c r="BI205" s="33">
        <v>2</v>
      </c>
      <c r="CC205" s="58"/>
      <c r="CD205" s="58"/>
    </row>
    <row r="206" spans="30:82" ht="16.5" hidden="1" customHeight="1" x14ac:dyDescent="0.25">
      <c r="BC206" s="43" t="str">
        <f t="shared" si="3"/>
        <v>I = habitat collectifstoresneufssc</v>
      </c>
      <c r="BD206" s="43" t="s">
        <v>4</v>
      </c>
      <c r="BE206" s="56" t="s">
        <v>19</v>
      </c>
      <c r="BF206" s="33" t="s">
        <v>6</v>
      </c>
      <c r="BG206" s="33" t="s">
        <v>96</v>
      </c>
      <c r="BH206" s="33">
        <v>0.5</v>
      </c>
      <c r="BI206" s="33">
        <v>0.5</v>
      </c>
      <c r="CC206" s="58"/>
      <c r="CD206" s="58"/>
    </row>
    <row r="207" spans="30:82" ht="16.5" hidden="1" customHeight="1" x14ac:dyDescent="0.25">
      <c r="BC207" s="43" t="str">
        <f t="shared" si="3"/>
        <v>II = habitat individueltpneufssc</v>
      </c>
      <c r="BD207" s="43" t="s">
        <v>31</v>
      </c>
      <c r="BE207" s="56" t="s">
        <v>5</v>
      </c>
      <c r="BF207" s="33" t="s">
        <v>6</v>
      </c>
      <c r="BG207" s="33" t="s">
        <v>96</v>
      </c>
      <c r="BH207" s="33">
        <v>0.15</v>
      </c>
      <c r="BI207" s="33">
        <v>0.25</v>
      </c>
      <c r="CC207" s="58"/>
      <c r="CD207" s="58"/>
    </row>
    <row r="208" spans="30:82" ht="16.5" hidden="1" customHeight="1" x14ac:dyDescent="0.25">
      <c r="BC208" s="43" t="str">
        <f t="shared" si="3"/>
        <v>II = habitat individuelmneufssc</v>
      </c>
      <c r="BD208" s="43" t="s">
        <v>31</v>
      </c>
      <c r="BE208" s="56" t="s">
        <v>8</v>
      </c>
      <c r="BF208" s="33" t="s">
        <v>6</v>
      </c>
      <c r="BG208" s="33" t="s">
        <v>96</v>
      </c>
      <c r="BH208" s="33">
        <v>0.15</v>
      </c>
      <c r="BI208" s="33">
        <v>0.25</v>
      </c>
      <c r="CC208" s="58"/>
      <c r="CD208" s="58"/>
    </row>
    <row r="209" spans="55:82" ht="16.5" hidden="1" customHeight="1" x14ac:dyDescent="0.25">
      <c r="BC209" s="43" t="str">
        <f t="shared" si="3"/>
        <v>II = habitat individuelsneufssc</v>
      </c>
      <c r="BD209" s="43" t="s">
        <v>31</v>
      </c>
      <c r="BE209" s="56" t="s">
        <v>11</v>
      </c>
      <c r="BF209" s="33" t="s">
        <v>6</v>
      </c>
      <c r="BG209" s="33" t="s">
        <v>96</v>
      </c>
      <c r="BH209" s="33">
        <v>0.15</v>
      </c>
      <c r="BI209" s="33">
        <v>0.25</v>
      </c>
      <c r="CC209" s="58"/>
      <c r="CD209" s="58"/>
    </row>
    <row r="210" spans="55:82" ht="16.5" hidden="1" customHeight="1" x14ac:dyDescent="0.25">
      <c r="BC210" s="43" t="str">
        <f t="shared" si="3"/>
        <v>II = habitat individuelfenneufssc</v>
      </c>
      <c r="BD210" s="43" t="s">
        <v>31</v>
      </c>
      <c r="BE210" s="56" t="s">
        <v>12</v>
      </c>
      <c r="BF210" s="33" t="s">
        <v>6</v>
      </c>
      <c r="BG210" s="33" t="s">
        <v>96</v>
      </c>
      <c r="BH210" s="33" t="s">
        <v>147</v>
      </c>
      <c r="BI210" s="33" t="s">
        <v>146</v>
      </c>
      <c r="CC210" s="58"/>
      <c r="CD210" s="58"/>
    </row>
    <row r="211" spans="55:82" ht="16.5" hidden="1" customHeight="1" x14ac:dyDescent="0.25">
      <c r="BC211" s="43" t="str">
        <f t="shared" si="3"/>
        <v>II = habitat individuelportesneufssc</v>
      </c>
      <c r="BD211" s="43" t="s">
        <v>31</v>
      </c>
      <c r="BE211" s="56" t="s">
        <v>15</v>
      </c>
      <c r="BF211" s="33" t="s">
        <v>6</v>
      </c>
      <c r="BG211" s="33" t="s">
        <v>96</v>
      </c>
      <c r="BH211" s="33">
        <v>1.2</v>
      </c>
      <c r="BI211" s="33">
        <v>1.5</v>
      </c>
      <c r="CC211" s="58"/>
      <c r="CD211" s="58"/>
    </row>
    <row r="212" spans="55:82" ht="16.5" hidden="1" customHeight="1" x14ac:dyDescent="0.25">
      <c r="BC212" s="43" t="str">
        <f t="shared" si="3"/>
        <v>II = habitat individuelp343neufssc</v>
      </c>
      <c r="BD212" s="43" t="s">
        <v>31</v>
      </c>
      <c r="BE212" s="56" t="s">
        <v>16</v>
      </c>
      <c r="BF212" s="33" t="s">
        <v>6</v>
      </c>
      <c r="BG212" s="33" t="s">
        <v>96</v>
      </c>
      <c r="BH212" s="33">
        <v>1.7</v>
      </c>
      <c r="BI212" s="33">
        <v>2</v>
      </c>
      <c r="CC212" s="58"/>
      <c r="CD212" s="58"/>
    </row>
    <row r="213" spans="55:82" ht="16.5" hidden="1" customHeight="1" x14ac:dyDescent="0.25">
      <c r="BC213" s="43" t="str">
        <f t="shared" si="3"/>
        <v>II = habitat individuelstoresneufssc</v>
      </c>
      <c r="BD213" s="43" t="s">
        <v>31</v>
      </c>
      <c r="BE213" s="56" t="s">
        <v>19</v>
      </c>
      <c r="BF213" s="33" t="s">
        <v>6</v>
      </c>
      <c r="BG213" s="33" t="s">
        <v>96</v>
      </c>
      <c r="BH213" s="33">
        <v>0.5</v>
      </c>
      <c r="BI213" s="33">
        <v>0.5</v>
      </c>
      <c r="CC213" s="58"/>
      <c r="CD213" s="58"/>
    </row>
    <row r="214" spans="55:82" ht="16.5" hidden="1" customHeight="1" x14ac:dyDescent="0.25">
      <c r="BC214" s="43" t="str">
        <f t="shared" si="3"/>
        <v>I = habitat collectiftprénossd</v>
      </c>
      <c r="BD214" s="43" t="s">
        <v>4</v>
      </c>
      <c r="BE214" s="56" t="s">
        <v>5</v>
      </c>
      <c r="BF214" s="33" t="s">
        <v>24</v>
      </c>
      <c r="BG214" s="33" t="s">
        <v>97</v>
      </c>
      <c r="BH214" s="33">
        <v>0.25</v>
      </c>
      <c r="BI214" s="33">
        <v>0.28000000000000003</v>
      </c>
      <c r="CC214" s="58"/>
      <c r="CD214" s="58"/>
    </row>
    <row r="215" spans="55:82" ht="16.5" hidden="1" customHeight="1" x14ac:dyDescent="0.25">
      <c r="BC215" s="43" t="str">
        <f t="shared" si="3"/>
        <v>I = habitat collectifmrénossd</v>
      </c>
      <c r="BD215" s="43" t="s">
        <v>4</v>
      </c>
      <c r="BE215" s="56" t="s">
        <v>8</v>
      </c>
      <c r="BF215" s="33" t="s">
        <v>24</v>
      </c>
      <c r="BG215" s="33" t="s">
        <v>97</v>
      </c>
      <c r="BH215" s="33">
        <v>0.2</v>
      </c>
      <c r="BI215" s="33">
        <v>0.2</v>
      </c>
      <c r="CC215" s="58"/>
      <c r="CD215" s="58"/>
    </row>
    <row r="216" spans="55:82" ht="16.5" hidden="1" customHeight="1" x14ac:dyDescent="0.25">
      <c r="BC216" s="43" t="str">
        <f t="shared" si="3"/>
        <v>I = habitat collectifsrénossd</v>
      </c>
      <c r="BD216" s="43" t="s">
        <v>4</v>
      </c>
      <c r="BE216" s="56" t="s">
        <v>11</v>
      </c>
      <c r="BF216" s="33" t="s">
        <v>24</v>
      </c>
      <c r="BG216" s="33" t="s">
        <v>97</v>
      </c>
      <c r="BH216" s="33">
        <v>0.25</v>
      </c>
      <c r="BI216" s="33">
        <v>0.28000000000000003</v>
      </c>
      <c r="CC216" s="58"/>
      <c r="CD216" s="58"/>
    </row>
    <row r="217" spans="55:82" ht="16.5" hidden="1" customHeight="1" x14ac:dyDescent="0.25">
      <c r="BC217" s="43" t="str">
        <f t="shared" si="3"/>
        <v>I = habitat collectiffenrénossd</v>
      </c>
      <c r="BD217" s="43" t="s">
        <v>4</v>
      </c>
      <c r="BE217" s="56" t="s">
        <v>12</v>
      </c>
      <c r="BF217" s="33" t="s">
        <v>24</v>
      </c>
      <c r="BG217" s="33" t="s">
        <v>97</v>
      </c>
      <c r="BH217" s="33" t="s">
        <v>164</v>
      </c>
      <c r="BI217" s="33" t="s">
        <v>164</v>
      </c>
      <c r="CC217" s="58"/>
      <c r="CD217" s="58"/>
    </row>
    <row r="218" spans="55:82" ht="16.5" hidden="1" customHeight="1" x14ac:dyDescent="0.25">
      <c r="BC218" s="43" t="str">
        <f t="shared" si="3"/>
        <v>I = habitat collectifportesrénossd</v>
      </c>
      <c r="BD218" s="43" t="s">
        <v>4</v>
      </c>
      <c r="BE218" s="56" t="s">
        <v>15</v>
      </c>
      <c r="BF218" s="33" t="s">
        <v>24</v>
      </c>
      <c r="BG218" s="33" t="s">
        <v>97</v>
      </c>
      <c r="BH218" s="33">
        <v>1.2</v>
      </c>
      <c r="BI218" s="33">
        <v>1.5</v>
      </c>
      <c r="CC218" s="58"/>
      <c r="CD218" s="58"/>
    </row>
    <row r="219" spans="55:82" ht="16.5" hidden="1" customHeight="1" x14ac:dyDescent="0.25">
      <c r="BC219" s="43" t="str">
        <f t="shared" si="3"/>
        <v>I = habitat collectifp343rénossd</v>
      </c>
      <c r="BD219" s="43" t="s">
        <v>4</v>
      </c>
      <c r="BE219" s="56" t="s">
        <v>16</v>
      </c>
      <c r="BF219" s="33" t="s">
        <v>24</v>
      </c>
      <c r="BG219" s="33" t="s">
        <v>97</v>
      </c>
      <c r="BH219" s="33">
        <v>1.7</v>
      </c>
      <c r="BI219" s="33">
        <v>2</v>
      </c>
      <c r="CC219" s="58"/>
      <c r="CD219" s="58"/>
    </row>
    <row r="220" spans="55:82" ht="16.5" hidden="1" customHeight="1" x14ac:dyDescent="0.25">
      <c r="BC220" s="43" t="str">
        <f t="shared" si="3"/>
        <v>I = habitat collectifstoresrénossd</v>
      </c>
      <c r="BD220" s="43" t="s">
        <v>4</v>
      </c>
      <c r="BE220" s="56" t="s">
        <v>19</v>
      </c>
      <c r="BF220" s="33" t="s">
        <v>24</v>
      </c>
      <c r="BG220" s="33" t="s">
        <v>97</v>
      </c>
      <c r="BH220" s="33">
        <v>0.5</v>
      </c>
      <c r="BI220" s="33">
        <v>0.5</v>
      </c>
      <c r="CC220" s="58"/>
      <c r="CD220" s="58"/>
    </row>
    <row r="221" spans="55:82" ht="16.5" hidden="1" customHeight="1" x14ac:dyDescent="0.25">
      <c r="BC221" s="43" t="str">
        <f t="shared" si="3"/>
        <v>II = habitat individueltprénossd</v>
      </c>
      <c r="BD221" s="43" t="s">
        <v>31</v>
      </c>
      <c r="BE221" s="56" t="s">
        <v>5</v>
      </c>
      <c r="BF221" s="33" t="s">
        <v>24</v>
      </c>
      <c r="BG221" s="33" t="s">
        <v>97</v>
      </c>
      <c r="BH221" s="33">
        <v>0.25</v>
      </c>
      <c r="BI221" s="33">
        <v>0.28000000000000003</v>
      </c>
      <c r="CC221" s="58"/>
      <c r="CD221" s="58"/>
    </row>
    <row r="222" spans="55:82" ht="16.5" hidden="1" customHeight="1" x14ac:dyDescent="0.25">
      <c r="BC222" s="43" t="str">
        <f t="shared" si="3"/>
        <v>II = habitat individuelmrénossd</v>
      </c>
      <c r="BD222" s="43" t="s">
        <v>31</v>
      </c>
      <c r="BE222" s="56" t="s">
        <v>8</v>
      </c>
      <c r="BF222" s="33" t="s">
        <v>24</v>
      </c>
      <c r="BG222" s="33" t="s">
        <v>97</v>
      </c>
      <c r="BH222" s="33">
        <v>0.2</v>
      </c>
      <c r="BI222" s="33">
        <v>0.2</v>
      </c>
      <c r="CC222" s="58"/>
      <c r="CD222" s="58"/>
    </row>
    <row r="223" spans="55:82" ht="16.5" hidden="1" customHeight="1" x14ac:dyDescent="0.25">
      <c r="BC223" s="43" t="str">
        <f t="shared" si="3"/>
        <v>II = habitat individuelsrénossd</v>
      </c>
      <c r="BD223" s="43" t="s">
        <v>31</v>
      </c>
      <c r="BE223" s="56" t="s">
        <v>11</v>
      </c>
      <c r="BF223" s="33" t="s">
        <v>24</v>
      </c>
      <c r="BG223" s="33" t="s">
        <v>97</v>
      </c>
      <c r="BH223" s="33">
        <v>0.25</v>
      </c>
      <c r="BI223" s="33">
        <v>0.28000000000000003</v>
      </c>
      <c r="CC223" s="58"/>
      <c r="CD223" s="58"/>
    </row>
    <row r="224" spans="55:82" ht="16.5" hidden="1" customHeight="1" x14ac:dyDescent="0.25">
      <c r="BC224" s="43" t="str">
        <f t="shared" si="3"/>
        <v>II = habitat individuelfenrénossd</v>
      </c>
      <c r="BD224" s="43" t="s">
        <v>31</v>
      </c>
      <c r="BE224" s="56" t="s">
        <v>12</v>
      </c>
      <c r="BF224" s="33" t="s">
        <v>24</v>
      </c>
      <c r="BG224" s="33" t="s">
        <v>97</v>
      </c>
      <c r="BH224" s="33" t="s">
        <v>164</v>
      </c>
      <c r="BI224" s="33" t="s">
        <v>164</v>
      </c>
      <c r="CC224" s="58"/>
      <c r="CD224" s="58"/>
    </row>
    <row r="225" spans="55:82" ht="16.5" hidden="1" customHeight="1" x14ac:dyDescent="0.25">
      <c r="BC225" s="43" t="str">
        <f t="shared" si="3"/>
        <v>II = habitat individuelportesrénossd</v>
      </c>
      <c r="BD225" s="43" t="s">
        <v>31</v>
      </c>
      <c r="BE225" s="56" t="s">
        <v>15</v>
      </c>
      <c r="BF225" s="33" t="s">
        <v>24</v>
      </c>
      <c r="BG225" s="33" t="s">
        <v>97</v>
      </c>
      <c r="BH225" s="33">
        <v>1.2</v>
      </c>
      <c r="BI225" s="33">
        <v>1.5</v>
      </c>
      <c r="CC225" s="58"/>
      <c r="CD225" s="58"/>
    </row>
    <row r="226" spans="55:82" ht="16.5" hidden="1" customHeight="1" x14ac:dyDescent="0.25">
      <c r="BC226" s="43" t="str">
        <f t="shared" si="3"/>
        <v>II = habitat individuelp343rénossd</v>
      </c>
      <c r="BD226" s="43" t="s">
        <v>31</v>
      </c>
      <c r="BE226" s="56" t="s">
        <v>16</v>
      </c>
      <c r="BF226" s="33" t="s">
        <v>24</v>
      </c>
      <c r="BG226" s="33" t="s">
        <v>97</v>
      </c>
      <c r="BH226" s="33">
        <v>1.7</v>
      </c>
      <c r="BI226" s="33">
        <v>2</v>
      </c>
      <c r="CC226" s="58"/>
      <c r="CD226" s="58"/>
    </row>
    <row r="227" spans="55:82" ht="16.5" hidden="1" customHeight="1" x14ac:dyDescent="0.25">
      <c r="BC227" s="43" t="str">
        <f t="shared" si="3"/>
        <v>II = habitat individuelstoresrénossd</v>
      </c>
      <c r="BD227" s="43" t="s">
        <v>31</v>
      </c>
      <c r="BE227" s="56" t="s">
        <v>19</v>
      </c>
      <c r="BF227" s="33" t="s">
        <v>24</v>
      </c>
      <c r="BG227" s="33" t="s">
        <v>97</v>
      </c>
      <c r="BH227" s="33">
        <v>0.5</v>
      </c>
      <c r="BI227" s="33">
        <v>0.5</v>
      </c>
      <c r="CC227" s="58"/>
      <c r="CD227" s="58"/>
    </row>
    <row r="228" spans="55:82" ht="16.5" hidden="1" customHeight="1" x14ac:dyDescent="0.25">
      <c r="BC228" s="43" t="str">
        <f t="shared" si="3"/>
        <v>I = habitat collectiftprénosse</v>
      </c>
      <c r="BD228" s="43" t="s">
        <v>4</v>
      </c>
      <c r="BE228" s="56" t="s">
        <v>5</v>
      </c>
      <c r="BF228" s="33" t="s">
        <v>24</v>
      </c>
      <c r="BG228" s="33" t="s">
        <v>98</v>
      </c>
      <c r="BH228" s="33">
        <v>0.2</v>
      </c>
      <c r="BI228" s="33">
        <v>0.2</v>
      </c>
      <c r="CC228" s="58"/>
      <c r="CD228" s="58"/>
    </row>
    <row r="229" spans="55:82" ht="16.5" hidden="1" customHeight="1" x14ac:dyDescent="0.25">
      <c r="BC229" s="43" t="str">
        <f t="shared" si="3"/>
        <v>I = habitat collectifmrénosse</v>
      </c>
      <c r="BD229" s="43" t="s">
        <v>4</v>
      </c>
      <c r="BE229" s="56" t="s">
        <v>8</v>
      </c>
      <c r="BF229" s="33" t="s">
        <v>24</v>
      </c>
      <c r="BG229" s="33" t="s">
        <v>98</v>
      </c>
      <c r="BH229" s="33">
        <v>0.25</v>
      </c>
      <c r="BI229" s="33">
        <v>0.28000000000000003</v>
      </c>
      <c r="CC229" s="58"/>
      <c r="CD229" s="58"/>
    </row>
    <row r="230" spans="55:82" ht="16.5" hidden="1" customHeight="1" x14ac:dyDescent="0.25">
      <c r="BC230" s="43" t="str">
        <f t="shared" si="3"/>
        <v>I = habitat collectifsrénosse</v>
      </c>
      <c r="BD230" s="43" t="s">
        <v>4</v>
      </c>
      <c r="BE230" s="56" t="s">
        <v>11</v>
      </c>
      <c r="BF230" s="33" t="s">
        <v>24</v>
      </c>
      <c r="BG230" s="33" t="s">
        <v>98</v>
      </c>
      <c r="BH230" s="33">
        <v>0.25</v>
      </c>
      <c r="BI230" s="33">
        <v>0.28000000000000003</v>
      </c>
      <c r="CC230" s="58"/>
      <c r="CD230" s="58"/>
    </row>
    <row r="231" spans="55:82" ht="16.5" hidden="1" customHeight="1" x14ac:dyDescent="0.25">
      <c r="BC231" s="43" t="str">
        <f t="shared" si="3"/>
        <v>I = habitat collectiffenrénosse</v>
      </c>
      <c r="BD231" s="43" t="s">
        <v>4</v>
      </c>
      <c r="BE231" s="56" t="s">
        <v>12</v>
      </c>
      <c r="BF231" s="33" t="s">
        <v>24</v>
      </c>
      <c r="BG231" s="33" t="s">
        <v>98</v>
      </c>
      <c r="BH231" s="33" t="s">
        <v>164</v>
      </c>
      <c r="BI231" s="33" t="s">
        <v>164</v>
      </c>
      <c r="CC231" s="58"/>
      <c r="CD231" s="58"/>
    </row>
    <row r="232" spans="55:82" ht="16.5" hidden="1" customHeight="1" x14ac:dyDescent="0.25">
      <c r="BC232" s="43" t="str">
        <f t="shared" si="3"/>
        <v>I = habitat collectifportesrénosse</v>
      </c>
      <c r="BD232" s="43" t="s">
        <v>4</v>
      </c>
      <c r="BE232" s="56" t="s">
        <v>15</v>
      </c>
      <c r="BF232" s="33" t="s">
        <v>24</v>
      </c>
      <c r="BG232" s="33" t="s">
        <v>98</v>
      </c>
      <c r="BH232" s="33">
        <v>1.2</v>
      </c>
      <c r="BI232" s="33">
        <v>1.5</v>
      </c>
      <c r="CC232" s="58"/>
      <c r="CD232" s="58"/>
    </row>
    <row r="233" spans="55:82" hidden="1" x14ac:dyDescent="0.25">
      <c r="BC233" s="43" t="str">
        <f t="shared" si="3"/>
        <v>I = habitat collectifp343rénosse</v>
      </c>
      <c r="BD233" s="43" t="s">
        <v>4</v>
      </c>
      <c r="BE233" s="56" t="s">
        <v>16</v>
      </c>
      <c r="BF233" s="33" t="s">
        <v>24</v>
      </c>
      <c r="BG233" s="33" t="s">
        <v>98</v>
      </c>
      <c r="BH233" s="33">
        <v>1.7</v>
      </c>
      <c r="BI233" s="33">
        <v>2</v>
      </c>
      <c r="CC233" s="58"/>
      <c r="CD233" s="58"/>
    </row>
    <row r="234" spans="55:82" hidden="1" x14ac:dyDescent="0.25">
      <c r="BC234" s="43" t="str">
        <f t="shared" si="3"/>
        <v>I = habitat collectifstoresrénosse</v>
      </c>
      <c r="BD234" s="43" t="s">
        <v>4</v>
      </c>
      <c r="BE234" s="56" t="s">
        <v>19</v>
      </c>
      <c r="BF234" s="33" t="s">
        <v>24</v>
      </c>
      <c r="BG234" s="33" t="s">
        <v>98</v>
      </c>
      <c r="BH234" s="33">
        <v>0.5</v>
      </c>
      <c r="BI234" s="33">
        <v>0.5</v>
      </c>
      <c r="CC234" s="58"/>
      <c r="CD234" s="58"/>
    </row>
    <row r="235" spans="55:82" hidden="1" x14ac:dyDescent="0.25">
      <c r="BC235" s="43" t="str">
        <f t="shared" si="3"/>
        <v>II = habitat individueltprénosse</v>
      </c>
      <c r="BD235" s="43" t="s">
        <v>31</v>
      </c>
      <c r="BE235" s="56" t="s">
        <v>5</v>
      </c>
      <c r="BF235" s="33" t="s">
        <v>24</v>
      </c>
      <c r="BG235" s="33" t="s">
        <v>98</v>
      </c>
      <c r="BH235" s="33">
        <v>0.2</v>
      </c>
      <c r="BI235" s="33">
        <v>0.2</v>
      </c>
      <c r="CC235" s="58"/>
      <c r="CD235" s="58"/>
    </row>
    <row r="236" spans="55:82" hidden="1" x14ac:dyDescent="0.25">
      <c r="BC236" s="43" t="str">
        <f t="shared" si="3"/>
        <v>II = habitat individuelmrénosse</v>
      </c>
      <c r="BD236" s="43" t="s">
        <v>31</v>
      </c>
      <c r="BE236" s="56" t="s">
        <v>8</v>
      </c>
      <c r="BF236" s="33" t="s">
        <v>24</v>
      </c>
      <c r="BG236" s="33" t="s">
        <v>98</v>
      </c>
      <c r="BH236" s="33">
        <v>0.25</v>
      </c>
      <c r="BI236" s="33">
        <v>0.28000000000000003</v>
      </c>
      <c r="CC236" s="58"/>
      <c r="CD236" s="58"/>
    </row>
    <row r="237" spans="55:82" hidden="1" x14ac:dyDescent="0.25">
      <c r="BC237" s="43" t="str">
        <f t="shared" si="3"/>
        <v>II = habitat individuelsrénosse</v>
      </c>
      <c r="BD237" s="43" t="s">
        <v>31</v>
      </c>
      <c r="BE237" s="56" t="s">
        <v>11</v>
      </c>
      <c r="BF237" s="33" t="s">
        <v>24</v>
      </c>
      <c r="BG237" s="33" t="s">
        <v>98</v>
      </c>
      <c r="BH237" s="33">
        <v>0.25</v>
      </c>
      <c r="BI237" s="33">
        <v>0.28000000000000003</v>
      </c>
      <c r="CC237" s="58"/>
      <c r="CD237" s="58"/>
    </row>
    <row r="238" spans="55:82" hidden="1" x14ac:dyDescent="0.25">
      <c r="BC238" s="43" t="str">
        <f t="shared" si="3"/>
        <v>II = habitat individuelfenrénosse</v>
      </c>
      <c r="BD238" s="43" t="s">
        <v>31</v>
      </c>
      <c r="BE238" s="56" t="s">
        <v>12</v>
      </c>
      <c r="BF238" s="33" t="s">
        <v>24</v>
      </c>
      <c r="BG238" s="33" t="s">
        <v>98</v>
      </c>
      <c r="BH238" s="33" t="s">
        <v>164</v>
      </c>
      <c r="BI238" s="33" t="s">
        <v>164</v>
      </c>
      <c r="CC238" s="58"/>
      <c r="CD238" s="58"/>
    </row>
    <row r="239" spans="55:82" hidden="1" x14ac:dyDescent="0.25">
      <c r="BC239" s="43" t="str">
        <f t="shared" si="3"/>
        <v>II = habitat individuelportesrénosse</v>
      </c>
      <c r="BD239" s="43" t="s">
        <v>31</v>
      </c>
      <c r="BE239" s="56" t="s">
        <v>15</v>
      </c>
      <c r="BF239" s="33" t="s">
        <v>24</v>
      </c>
      <c r="BG239" s="33" t="s">
        <v>98</v>
      </c>
      <c r="BH239" s="33">
        <v>1.2</v>
      </c>
      <c r="BI239" s="33">
        <v>1.5</v>
      </c>
      <c r="CC239" s="58"/>
      <c r="CD239" s="58"/>
    </row>
    <row r="240" spans="55:82" hidden="1" x14ac:dyDescent="0.25">
      <c r="BC240" s="43" t="str">
        <f t="shared" si="3"/>
        <v>II = habitat individuelp343rénosse</v>
      </c>
      <c r="BD240" s="43" t="s">
        <v>31</v>
      </c>
      <c r="BE240" s="56" t="s">
        <v>16</v>
      </c>
      <c r="BF240" s="33" t="s">
        <v>24</v>
      </c>
      <c r="BG240" s="33" t="s">
        <v>98</v>
      </c>
      <c r="BH240" s="33">
        <v>1.7</v>
      </c>
      <c r="BI240" s="33">
        <v>2</v>
      </c>
      <c r="CC240" s="58"/>
      <c r="CD240" s="58"/>
    </row>
    <row r="241" spans="55:82" hidden="1" x14ac:dyDescent="0.25">
      <c r="BC241" s="43" t="str">
        <f t="shared" si="3"/>
        <v>II = habitat individuelstoresrénosse</v>
      </c>
      <c r="BD241" s="43" t="s">
        <v>31</v>
      </c>
      <c r="BE241" s="56" t="s">
        <v>19</v>
      </c>
      <c r="BF241" s="33" t="s">
        <v>24</v>
      </c>
      <c r="BG241" s="33" t="s">
        <v>98</v>
      </c>
      <c r="BH241" s="33">
        <v>0.5</v>
      </c>
      <c r="BI241" s="33">
        <v>0.5</v>
      </c>
      <c r="CC241" s="58"/>
      <c r="CD241" s="58"/>
    </row>
    <row r="242" spans="55:82" hidden="1" x14ac:dyDescent="0.25">
      <c r="BC242" s="43" t="str">
        <f t="shared" si="3"/>
        <v>I = habitat collectiftprénossf</v>
      </c>
      <c r="BD242" s="43" t="s">
        <v>4</v>
      </c>
      <c r="BE242" s="56" t="s">
        <v>5</v>
      </c>
      <c r="BF242" s="33" t="s">
        <v>24</v>
      </c>
      <c r="BG242" s="33" t="s">
        <v>99</v>
      </c>
      <c r="BH242" s="33">
        <v>0.2</v>
      </c>
      <c r="BI242" s="33">
        <v>0.2</v>
      </c>
    </row>
    <row r="243" spans="55:82" hidden="1" x14ac:dyDescent="0.25">
      <c r="BC243" s="43" t="str">
        <f t="shared" si="3"/>
        <v>I = habitat collectifmrénossf</v>
      </c>
      <c r="BD243" s="43" t="s">
        <v>4</v>
      </c>
      <c r="BE243" s="56" t="s">
        <v>8</v>
      </c>
      <c r="BF243" s="33" t="s">
        <v>24</v>
      </c>
      <c r="BG243" s="33" t="s">
        <v>99</v>
      </c>
      <c r="BH243" s="33">
        <v>0.2</v>
      </c>
      <c r="BI243" s="33">
        <v>0.2</v>
      </c>
    </row>
    <row r="244" spans="55:82" hidden="1" x14ac:dyDescent="0.25">
      <c r="BC244" s="43" t="str">
        <f t="shared" si="3"/>
        <v>I = habitat collectifsrénossf</v>
      </c>
      <c r="BD244" s="43" t="s">
        <v>4</v>
      </c>
      <c r="BE244" s="56" t="s">
        <v>11</v>
      </c>
      <c r="BF244" s="33" t="s">
        <v>24</v>
      </c>
      <c r="BG244" s="33" t="s">
        <v>99</v>
      </c>
      <c r="BH244" s="33">
        <v>0.25</v>
      </c>
      <c r="BI244" s="33">
        <v>0.28000000000000003</v>
      </c>
    </row>
    <row r="245" spans="55:82" hidden="1" x14ac:dyDescent="0.25">
      <c r="BC245" s="43" t="str">
        <f t="shared" si="3"/>
        <v>I = habitat collectiffenrénossf</v>
      </c>
      <c r="BD245" s="43" t="s">
        <v>4</v>
      </c>
      <c r="BE245" s="56" t="s">
        <v>12</v>
      </c>
      <c r="BF245" s="33" t="s">
        <v>24</v>
      </c>
      <c r="BG245" s="33" t="s">
        <v>99</v>
      </c>
      <c r="BH245" s="33" t="s">
        <v>145</v>
      </c>
      <c r="BI245" s="33" t="s">
        <v>146</v>
      </c>
    </row>
    <row r="246" spans="55:82" hidden="1" x14ac:dyDescent="0.25">
      <c r="BC246" s="43" t="str">
        <f t="shared" si="3"/>
        <v>I = habitat collectifportesrénossf</v>
      </c>
      <c r="BD246" s="43" t="s">
        <v>4</v>
      </c>
      <c r="BE246" s="56" t="s">
        <v>15</v>
      </c>
      <c r="BF246" s="33" t="s">
        <v>24</v>
      </c>
      <c r="BG246" s="33" t="s">
        <v>99</v>
      </c>
      <c r="BH246" s="33">
        <v>1.2</v>
      </c>
      <c r="BI246" s="33">
        <v>1.5</v>
      </c>
      <c r="CC246" s="58"/>
      <c r="CD246" s="58"/>
    </row>
    <row r="247" spans="55:82" hidden="1" x14ac:dyDescent="0.25">
      <c r="BC247" s="43" t="str">
        <f t="shared" si="3"/>
        <v>I = habitat collectifp343rénossf</v>
      </c>
      <c r="BD247" s="43" t="s">
        <v>4</v>
      </c>
      <c r="BE247" s="56" t="s">
        <v>16</v>
      </c>
      <c r="BF247" s="33" t="s">
        <v>24</v>
      </c>
      <c r="BG247" s="33" t="s">
        <v>99</v>
      </c>
      <c r="BH247" s="33">
        <v>1.7</v>
      </c>
      <c r="BI247" s="33">
        <v>2</v>
      </c>
      <c r="CC247" s="58"/>
      <c r="CD247" s="58"/>
    </row>
    <row r="248" spans="55:82" hidden="1" x14ac:dyDescent="0.25">
      <c r="BC248" s="43" t="str">
        <f t="shared" si="3"/>
        <v>I = habitat collectifstoresrénossf</v>
      </c>
      <c r="BD248" s="43" t="s">
        <v>4</v>
      </c>
      <c r="BE248" s="56" t="s">
        <v>19</v>
      </c>
      <c r="BF248" s="33" t="s">
        <v>24</v>
      </c>
      <c r="BG248" s="33" t="s">
        <v>99</v>
      </c>
      <c r="BH248" s="33">
        <v>0.5</v>
      </c>
      <c r="BI248" s="33">
        <v>0.5</v>
      </c>
      <c r="CC248" s="58"/>
      <c r="CD248" s="58"/>
    </row>
    <row r="249" spans="55:82" hidden="1" x14ac:dyDescent="0.25">
      <c r="BC249" s="43" t="str">
        <f t="shared" si="3"/>
        <v>II = habitat individueltprénossf</v>
      </c>
      <c r="BD249" s="43" t="s">
        <v>31</v>
      </c>
      <c r="BE249" s="56" t="s">
        <v>5</v>
      </c>
      <c r="BF249" s="33" t="s">
        <v>24</v>
      </c>
      <c r="BG249" s="33" t="s">
        <v>99</v>
      </c>
      <c r="BH249" s="33">
        <v>0.2</v>
      </c>
      <c r="BI249" s="33">
        <v>0.2</v>
      </c>
      <c r="CC249" s="58"/>
      <c r="CD249" s="58"/>
    </row>
    <row r="250" spans="55:82" hidden="1" x14ac:dyDescent="0.25">
      <c r="BC250" s="43" t="str">
        <f t="shared" si="3"/>
        <v>II = habitat individuelmrénossf</v>
      </c>
      <c r="BD250" s="43" t="s">
        <v>31</v>
      </c>
      <c r="BE250" s="56" t="s">
        <v>8</v>
      </c>
      <c r="BF250" s="33" t="s">
        <v>24</v>
      </c>
      <c r="BG250" s="33" t="s">
        <v>99</v>
      </c>
      <c r="BH250" s="33">
        <v>0.2</v>
      </c>
      <c r="BI250" s="33">
        <v>0.2</v>
      </c>
      <c r="CC250" s="58"/>
      <c r="CD250" s="58"/>
    </row>
    <row r="251" spans="55:82" hidden="1" x14ac:dyDescent="0.25">
      <c r="BC251" s="43" t="str">
        <f t="shared" si="3"/>
        <v>II = habitat individuelsrénossf</v>
      </c>
      <c r="BD251" s="43" t="s">
        <v>31</v>
      </c>
      <c r="BE251" s="56" t="s">
        <v>11</v>
      </c>
      <c r="BF251" s="33" t="s">
        <v>24</v>
      </c>
      <c r="BG251" s="33" t="s">
        <v>99</v>
      </c>
      <c r="BH251" s="33">
        <v>0.25</v>
      </c>
      <c r="BI251" s="33">
        <v>0.28000000000000003</v>
      </c>
      <c r="CC251" s="58"/>
      <c r="CD251" s="58"/>
    </row>
    <row r="252" spans="55:82" hidden="1" x14ac:dyDescent="0.25">
      <c r="BC252" s="43" t="str">
        <f t="shared" si="3"/>
        <v>II = habitat individuelfenrénossf</v>
      </c>
      <c r="BD252" s="43" t="s">
        <v>31</v>
      </c>
      <c r="BE252" s="56" t="s">
        <v>12</v>
      </c>
      <c r="BF252" s="33" t="s">
        <v>24</v>
      </c>
      <c r="BG252" s="33" t="s">
        <v>99</v>
      </c>
      <c r="BH252" s="33" t="s">
        <v>145</v>
      </c>
      <c r="BI252" s="33" t="s">
        <v>146</v>
      </c>
      <c r="CC252" s="58"/>
      <c r="CD252" s="58"/>
    </row>
    <row r="253" spans="55:82" hidden="1" x14ac:dyDescent="0.25">
      <c r="BC253" s="43" t="str">
        <f t="shared" si="3"/>
        <v>II = habitat individuelportesrénossf</v>
      </c>
      <c r="BD253" s="43" t="s">
        <v>31</v>
      </c>
      <c r="BE253" s="56" t="s">
        <v>15</v>
      </c>
      <c r="BF253" s="33" t="s">
        <v>24</v>
      </c>
      <c r="BG253" s="33" t="s">
        <v>99</v>
      </c>
      <c r="BH253" s="33">
        <v>1.2</v>
      </c>
      <c r="BI253" s="33">
        <v>1.5</v>
      </c>
      <c r="CC253" s="58"/>
      <c r="CD253" s="58"/>
    </row>
    <row r="254" spans="55:82" hidden="1" x14ac:dyDescent="0.25">
      <c r="BC254" s="43" t="str">
        <f t="shared" si="3"/>
        <v>II = habitat individuelp343rénossf</v>
      </c>
      <c r="BD254" s="43" t="s">
        <v>31</v>
      </c>
      <c r="BE254" s="56" t="s">
        <v>16</v>
      </c>
      <c r="BF254" s="33" t="s">
        <v>24</v>
      </c>
      <c r="BG254" s="33" t="s">
        <v>99</v>
      </c>
      <c r="BH254" s="33">
        <v>1.7</v>
      </c>
      <c r="BI254" s="33">
        <v>2</v>
      </c>
    </row>
    <row r="255" spans="55:82" hidden="1" x14ac:dyDescent="0.25">
      <c r="BC255" s="43" t="str">
        <f t="shared" si="3"/>
        <v>II = habitat individuelstoresrénossf</v>
      </c>
      <c r="BD255" s="43" t="s">
        <v>31</v>
      </c>
      <c r="BE255" s="56" t="s">
        <v>19</v>
      </c>
      <c r="BF255" s="33" t="s">
        <v>24</v>
      </c>
      <c r="BG255" s="33" t="s">
        <v>99</v>
      </c>
      <c r="BH255" s="33">
        <v>0.5</v>
      </c>
      <c r="BI255" s="33">
        <v>0.5</v>
      </c>
    </row>
    <row r="256" spans="55:82" hidden="1" x14ac:dyDescent="0.25">
      <c r="BC256" s="43" t="str">
        <f t="shared" si="3"/>
        <v>I = habitat collectiftprénossh</v>
      </c>
      <c r="BD256" s="43" t="s">
        <v>4</v>
      </c>
      <c r="BE256" s="56" t="s">
        <v>5</v>
      </c>
      <c r="BF256" s="33" t="s">
        <v>24</v>
      </c>
      <c r="BG256" s="33" t="s">
        <v>138</v>
      </c>
      <c r="BH256" s="33">
        <v>0.25</v>
      </c>
      <c r="BI256" s="33">
        <v>0.28000000000000003</v>
      </c>
    </row>
    <row r="257" spans="55:82" hidden="1" x14ac:dyDescent="0.25">
      <c r="BC257" s="43" t="str">
        <f t="shared" si="3"/>
        <v>I = habitat collectifmrénossh</v>
      </c>
      <c r="BD257" s="43" t="s">
        <v>4</v>
      </c>
      <c r="BE257" s="56" t="s">
        <v>8</v>
      </c>
      <c r="BF257" s="33" t="s">
        <v>24</v>
      </c>
      <c r="BG257" s="33" t="s">
        <v>138</v>
      </c>
      <c r="BH257" s="33">
        <v>0.25</v>
      </c>
      <c r="BI257" s="33">
        <v>0.28000000000000003</v>
      </c>
    </row>
    <row r="258" spans="55:82" hidden="1" x14ac:dyDescent="0.25">
      <c r="BC258" s="43" t="str">
        <f t="shared" si="3"/>
        <v>I = habitat collectifsrénossh</v>
      </c>
      <c r="BD258" s="43" t="s">
        <v>4</v>
      </c>
      <c r="BE258" s="56" t="s">
        <v>11</v>
      </c>
      <c r="BF258" s="33" t="s">
        <v>24</v>
      </c>
      <c r="BG258" s="33" t="s">
        <v>138</v>
      </c>
      <c r="BH258" s="33">
        <v>0.25</v>
      </c>
      <c r="BI258" s="33">
        <v>0.28000000000000003</v>
      </c>
      <c r="CC258" s="58"/>
      <c r="CD258" s="58"/>
    </row>
    <row r="259" spans="55:82" hidden="1" x14ac:dyDescent="0.25">
      <c r="BC259" s="43" t="str">
        <f t="shared" si="3"/>
        <v>I = habitat collectiffenrénossh</v>
      </c>
      <c r="BD259" s="43" t="s">
        <v>4</v>
      </c>
      <c r="BE259" s="56" t="s">
        <v>12</v>
      </c>
      <c r="BF259" s="33" t="s">
        <v>24</v>
      </c>
      <c r="BG259" s="33" t="s">
        <v>138</v>
      </c>
      <c r="BH259" s="33" t="s">
        <v>164</v>
      </c>
      <c r="BI259" s="33" t="s">
        <v>164</v>
      </c>
      <c r="CC259" s="58"/>
      <c r="CD259" s="58"/>
    </row>
    <row r="260" spans="55:82" hidden="1" x14ac:dyDescent="0.25">
      <c r="BC260" s="43" t="str">
        <f t="shared" si="3"/>
        <v>I = habitat collectifportesrénossh</v>
      </c>
      <c r="BD260" s="43" t="s">
        <v>4</v>
      </c>
      <c r="BE260" s="56" t="s">
        <v>15</v>
      </c>
      <c r="BF260" s="33" t="s">
        <v>24</v>
      </c>
      <c r="BG260" s="33" t="s">
        <v>138</v>
      </c>
      <c r="BH260" s="33">
        <v>1.2</v>
      </c>
      <c r="BI260" s="33">
        <v>1.5</v>
      </c>
      <c r="CC260" s="58"/>
      <c r="CD260" s="58"/>
    </row>
    <row r="261" spans="55:82" hidden="1" x14ac:dyDescent="0.25">
      <c r="BC261" s="43" t="str">
        <f t="shared" si="3"/>
        <v>I = habitat collectifp343rénossh</v>
      </c>
      <c r="BD261" s="43" t="s">
        <v>4</v>
      </c>
      <c r="BE261" s="56" t="s">
        <v>16</v>
      </c>
      <c r="BF261" s="33" t="s">
        <v>24</v>
      </c>
      <c r="BG261" s="33" t="s">
        <v>138</v>
      </c>
      <c r="BH261" s="33">
        <v>1.7</v>
      </c>
      <c r="BI261" s="33">
        <v>2</v>
      </c>
      <c r="CC261" s="58"/>
      <c r="CD261" s="58"/>
    </row>
    <row r="262" spans="55:82" hidden="1" x14ac:dyDescent="0.25">
      <c r="BC262" s="43" t="str">
        <f t="shared" si="3"/>
        <v>I = habitat collectifstoresrénossh</v>
      </c>
      <c r="BD262" s="43" t="s">
        <v>4</v>
      </c>
      <c r="BE262" s="56" t="s">
        <v>19</v>
      </c>
      <c r="BF262" s="33" t="s">
        <v>24</v>
      </c>
      <c r="BG262" s="33" t="s">
        <v>138</v>
      </c>
      <c r="BH262" s="33">
        <v>0.5</v>
      </c>
      <c r="BI262" s="33">
        <v>0.5</v>
      </c>
      <c r="CC262" s="58"/>
      <c r="CD262" s="58"/>
    </row>
    <row r="263" spans="55:82" hidden="1" x14ac:dyDescent="0.25">
      <c r="BC263" s="43" t="str">
        <f t="shared" si="3"/>
        <v>II = habitat individueltprénossh</v>
      </c>
      <c r="BD263" s="43" t="s">
        <v>31</v>
      </c>
      <c r="BE263" s="56" t="s">
        <v>5</v>
      </c>
      <c r="BF263" s="33" t="s">
        <v>24</v>
      </c>
      <c r="BG263" s="33" t="s">
        <v>138</v>
      </c>
      <c r="BH263" s="33">
        <v>0.25</v>
      </c>
      <c r="BI263" s="33">
        <v>0.28000000000000003</v>
      </c>
      <c r="CC263" s="58"/>
      <c r="CD263" s="58"/>
    </row>
    <row r="264" spans="55:82" hidden="1" x14ac:dyDescent="0.25">
      <c r="BC264" s="43" t="str">
        <f t="shared" si="3"/>
        <v>II = habitat individuelmrénossh</v>
      </c>
      <c r="BD264" s="43" t="s">
        <v>31</v>
      </c>
      <c r="BE264" s="56" t="s">
        <v>8</v>
      </c>
      <c r="BF264" s="33" t="s">
        <v>24</v>
      </c>
      <c r="BG264" s="33" t="s">
        <v>138</v>
      </c>
      <c r="BH264" s="33">
        <v>0.25</v>
      </c>
      <c r="BI264" s="33">
        <v>0.28000000000000003</v>
      </c>
      <c r="CC264" s="58"/>
      <c r="CD264" s="58"/>
    </row>
    <row r="265" spans="55:82" hidden="1" x14ac:dyDescent="0.25">
      <c r="BC265" s="43" t="str">
        <f t="shared" ref="BC265:BC328" si="4">BD265&amp;BE265&amp;BF265&amp;BG265</f>
        <v>II = habitat individuelsrénossh</v>
      </c>
      <c r="BD265" s="43" t="s">
        <v>31</v>
      </c>
      <c r="BE265" s="56" t="s">
        <v>11</v>
      </c>
      <c r="BF265" s="33" t="s">
        <v>24</v>
      </c>
      <c r="BG265" s="33" t="s">
        <v>138</v>
      </c>
      <c r="BH265" s="33">
        <v>0.25</v>
      </c>
      <c r="BI265" s="33">
        <v>0.28000000000000003</v>
      </c>
      <c r="CC265" s="58"/>
      <c r="CD265" s="58"/>
    </row>
    <row r="266" spans="55:82" hidden="1" x14ac:dyDescent="0.25">
      <c r="BC266" s="43" t="str">
        <f t="shared" si="4"/>
        <v>II = habitat individuelfenrénossh</v>
      </c>
      <c r="BD266" s="43" t="s">
        <v>31</v>
      </c>
      <c r="BE266" s="56" t="s">
        <v>12</v>
      </c>
      <c r="BF266" s="33" t="s">
        <v>24</v>
      </c>
      <c r="BG266" s="33" t="s">
        <v>138</v>
      </c>
      <c r="BH266" s="33" t="s">
        <v>164</v>
      </c>
      <c r="BI266" s="33" t="s">
        <v>164</v>
      </c>
      <c r="CC266" s="58"/>
      <c r="CD266" s="58"/>
    </row>
    <row r="267" spans="55:82" hidden="1" x14ac:dyDescent="0.25">
      <c r="BC267" s="43" t="str">
        <f t="shared" si="4"/>
        <v>II = habitat individuelportesrénossh</v>
      </c>
      <c r="BD267" s="43" t="s">
        <v>31</v>
      </c>
      <c r="BE267" s="56" t="s">
        <v>15</v>
      </c>
      <c r="BF267" s="33" t="s">
        <v>24</v>
      </c>
      <c r="BG267" s="33" t="s">
        <v>138</v>
      </c>
      <c r="BH267" s="33">
        <v>1.2</v>
      </c>
      <c r="BI267" s="33">
        <v>1.5</v>
      </c>
      <c r="CC267" s="58"/>
      <c r="CD267" s="58"/>
    </row>
    <row r="268" spans="55:82" hidden="1" x14ac:dyDescent="0.25">
      <c r="BC268" s="43" t="str">
        <f t="shared" si="4"/>
        <v>II = habitat individuelp343rénossh</v>
      </c>
      <c r="BD268" s="43" t="s">
        <v>31</v>
      </c>
      <c r="BE268" s="56" t="s">
        <v>16</v>
      </c>
      <c r="BF268" s="33" t="s">
        <v>24</v>
      </c>
      <c r="BG268" s="33" t="s">
        <v>138</v>
      </c>
      <c r="BH268" s="33">
        <v>1.7</v>
      </c>
      <c r="BI268" s="33">
        <v>2</v>
      </c>
      <c r="CC268" s="58"/>
      <c r="CD268" s="58"/>
    </row>
    <row r="269" spans="55:82" hidden="1" x14ac:dyDescent="0.25">
      <c r="BC269" s="43" t="str">
        <f t="shared" si="4"/>
        <v>II = habitat individuelstoresrénossh</v>
      </c>
      <c r="BD269" s="43" t="s">
        <v>31</v>
      </c>
      <c r="BE269" s="56" t="s">
        <v>19</v>
      </c>
      <c r="BF269" s="33" t="s">
        <v>24</v>
      </c>
      <c r="BG269" s="33" t="s">
        <v>138</v>
      </c>
      <c r="BH269" s="33">
        <v>0.5</v>
      </c>
      <c r="BI269" s="33">
        <v>0.5</v>
      </c>
      <c r="CC269" s="58"/>
      <c r="CD269" s="58"/>
    </row>
    <row r="270" spans="55:82" hidden="1" x14ac:dyDescent="0.25">
      <c r="BC270" s="43" t="str">
        <f t="shared" si="4"/>
        <v>I = habitat collectiftprénossi</v>
      </c>
      <c r="BD270" s="43" t="s">
        <v>4</v>
      </c>
      <c r="BE270" s="56" t="s">
        <v>5</v>
      </c>
      <c r="BF270" s="33" t="s">
        <v>24</v>
      </c>
      <c r="BG270" s="33" t="s">
        <v>139</v>
      </c>
      <c r="BH270" s="33">
        <v>0.25</v>
      </c>
      <c r="BI270" s="33">
        <v>0.28000000000000003</v>
      </c>
    </row>
    <row r="271" spans="55:82" hidden="1" x14ac:dyDescent="0.25">
      <c r="BC271" s="43" t="str">
        <f t="shared" si="4"/>
        <v>I = habitat collectifmrénossi</v>
      </c>
      <c r="BD271" s="43" t="s">
        <v>4</v>
      </c>
      <c r="BE271" s="56" t="s">
        <v>8</v>
      </c>
      <c r="BF271" s="33" t="s">
        <v>24</v>
      </c>
      <c r="BG271" s="33" t="s">
        <v>139</v>
      </c>
      <c r="BH271" s="33">
        <v>0.2</v>
      </c>
      <c r="BI271" s="33">
        <v>0.2</v>
      </c>
    </row>
    <row r="272" spans="55:82" hidden="1" x14ac:dyDescent="0.25">
      <c r="BC272" s="43" t="str">
        <f t="shared" si="4"/>
        <v>I = habitat collectifsrénossi</v>
      </c>
      <c r="BD272" s="43" t="s">
        <v>4</v>
      </c>
      <c r="BE272" s="56" t="s">
        <v>11</v>
      </c>
      <c r="BF272" s="33" t="s">
        <v>24</v>
      </c>
      <c r="BG272" s="33" t="s">
        <v>139</v>
      </c>
      <c r="BH272" s="33">
        <v>0.25</v>
      </c>
      <c r="BI272" s="33">
        <v>0.28000000000000003</v>
      </c>
    </row>
    <row r="273" spans="55:82" hidden="1" x14ac:dyDescent="0.25">
      <c r="BC273" s="43" t="str">
        <f t="shared" si="4"/>
        <v>I = habitat collectiffenrénossi</v>
      </c>
      <c r="BD273" s="43" t="s">
        <v>4</v>
      </c>
      <c r="BE273" s="56" t="s">
        <v>12</v>
      </c>
      <c r="BF273" s="33" t="s">
        <v>24</v>
      </c>
      <c r="BG273" s="33" t="s">
        <v>139</v>
      </c>
      <c r="BH273" s="33" t="s">
        <v>145</v>
      </c>
      <c r="BI273" s="33" t="s">
        <v>146</v>
      </c>
      <c r="CC273" s="58"/>
      <c r="CD273" s="58"/>
    </row>
    <row r="274" spans="55:82" hidden="1" x14ac:dyDescent="0.25">
      <c r="BC274" s="43" t="str">
        <f t="shared" si="4"/>
        <v>I = habitat collectifportesrénossi</v>
      </c>
      <c r="BD274" s="43" t="s">
        <v>4</v>
      </c>
      <c r="BE274" s="56" t="s">
        <v>15</v>
      </c>
      <c r="BF274" s="33" t="s">
        <v>24</v>
      </c>
      <c r="BG274" s="33" t="s">
        <v>139</v>
      </c>
      <c r="BH274" s="33">
        <v>1.2</v>
      </c>
      <c r="BI274" s="33">
        <v>1.5</v>
      </c>
      <c r="CC274" s="58"/>
      <c r="CD274" s="58"/>
    </row>
    <row r="275" spans="55:82" hidden="1" x14ac:dyDescent="0.25">
      <c r="BC275" s="43" t="str">
        <f t="shared" si="4"/>
        <v>I = habitat collectifp343rénossi</v>
      </c>
      <c r="BD275" s="43" t="s">
        <v>4</v>
      </c>
      <c r="BE275" s="56" t="s">
        <v>16</v>
      </c>
      <c r="BF275" s="33" t="s">
        <v>24</v>
      </c>
      <c r="BG275" s="33" t="s">
        <v>139</v>
      </c>
      <c r="BH275" s="33">
        <v>1.7</v>
      </c>
      <c r="BI275" s="33">
        <v>2</v>
      </c>
    </row>
    <row r="276" spans="55:82" hidden="1" x14ac:dyDescent="0.25">
      <c r="BC276" s="43" t="str">
        <f t="shared" si="4"/>
        <v>I = habitat collectifstoresrénossi</v>
      </c>
      <c r="BD276" s="43" t="s">
        <v>4</v>
      </c>
      <c r="BE276" s="56" t="s">
        <v>19</v>
      </c>
      <c r="BF276" s="33" t="s">
        <v>24</v>
      </c>
      <c r="BG276" s="33" t="s">
        <v>139</v>
      </c>
      <c r="BH276" s="33">
        <v>0.5</v>
      </c>
      <c r="BI276" s="33">
        <v>0.5</v>
      </c>
    </row>
    <row r="277" spans="55:82" hidden="1" x14ac:dyDescent="0.25">
      <c r="BC277" s="43" t="str">
        <f t="shared" si="4"/>
        <v>II = habitat individueltprénossi</v>
      </c>
      <c r="BD277" s="43" t="s">
        <v>31</v>
      </c>
      <c r="BE277" s="56" t="s">
        <v>5</v>
      </c>
      <c r="BF277" s="33" t="s">
        <v>24</v>
      </c>
      <c r="BG277" s="33" t="s">
        <v>139</v>
      </c>
      <c r="BH277" s="33">
        <v>0.25</v>
      </c>
      <c r="BI277" s="33">
        <v>0.28000000000000003</v>
      </c>
    </row>
    <row r="278" spans="55:82" hidden="1" x14ac:dyDescent="0.25">
      <c r="BC278" s="43" t="str">
        <f t="shared" si="4"/>
        <v>II = habitat individuelmrénossi</v>
      </c>
      <c r="BD278" s="43" t="s">
        <v>31</v>
      </c>
      <c r="BE278" s="56" t="s">
        <v>8</v>
      </c>
      <c r="BF278" s="33" t="s">
        <v>24</v>
      </c>
      <c r="BG278" s="33" t="s">
        <v>139</v>
      </c>
      <c r="BH278" s="33">
        <v>0.2</v>
      </c>
      <c r="BI278" s="33">
        <v>0.2</v>
      </c>
      <c r="CC278" s="58"/>
      <c r="CD278" s="58"/>
    </row>
    <row r="279" spans="55:82" hidden="1" x14ac:dyDescent="0.25">
      <c r="BC279" s="43" t="str">
        <f t="shared" si="4"/>
        <v>II = habitat individuelsrénossi</v>
      </c>
      <c r="BD279" s="43" t="s">
        <v>31</v>
      </c>
      <c r="BE279" s="56" t="s">
        <v>11</v>
      </c>
      <c r="BF279" s="33" t="s">
        <v>24</v>
      </c>
      <c r="BG279" s="33" t="s">
        <v>139</v>
      </c>
      <c r="BH279" s="33">
        <v>0.25</v>
      </c>
      <c r="BI279" s="33">
        <v>0.28000000000000003</v>
      </c>
      <c r="CC279" s="58"/>
      <c r="CD279" s="58"/>
    </row>
    <row r="280" spans="55:82" hidden="1" x14ac:dyDescent="0.25">
      <c r="BC280" s="43" t="str">
        <f t="shared" si="4"/>
        <v>II = habitat individuelfenrénossi</v>
      </c>
      <c r="BD280" s="43" t="s">
        <v>31</v>
      </c>
      <c r="BE280" s="56" t="s">
        <v>12</v>
      </c>
      <c r="BF280" s="33" t="s">
        <v>24</v>
      </c>
      <c r="BG280" s="33" t="s">
        <v>139</v>
      </c>
      <c r="BH280" s="33" t="s">
        <v>145</v>
      </c>
      <c r="BI280" s="33" t="s">
        <v>146</v>
      </c>
      <c r="CC280" s="58"/>
      <c r="CD280" s="58"/>
    </row>
    <row r="281" spans="55:82" hidden="1" x14ac:dyDescent="0.25">
      <c r="BC281" s="43" t="str">
        <f t="shared" si="4"/>
        <v>II = habitat individuelportesrénossi</v>
      </c>
      <c r="BD281" s="43" t="s">
        <v>31</v>
      </c>
      <c r="BE281" s="56" t="s">
        <v>15</v>
      </c>
      <c r="BF281" s="33" t="s">
        <v>24</v>
      </c>
      <c r="BG281" s="33" t="s">
        <v>139</v>
      </c>
      <c r="BH281" s="33">
        <v>1.2</v>
      </c>
      <c r="BI281" s="33">
        <v>1.5</v>
      </c>
      <c r="CC281" s="58"/>
      <c r="CD281" s="58"/>
    </row>
    <row r="282" spans="55:82" hidden="1" x14ac:dyDescent="0.25">
      <c r="BC282" s="43" t="str">
        <f t="shared" si="4"/>
        <v>II = habitat individuelp343rénossi</v>
      </c>
      <c r="BD282" s="43" t="s">
        <v>31</v>
      </c>
      <c r="BE282" s="56" t="s">
        <v>16</v>
      </c>
      <c r="BF282" s="33" t="s">
        <v>24</v>
      </c>
      <c r="BG282" s="33" t="s">
        <v>139</v>
      </c>
      <c r="BH282" s="33">
        <v>1.7</v>
      </c>
      <c r="BI282" s="33">
        <v>2</v>
      </c>
      <c r="CC282" s="58"/>
      <c r="CD282" s="58"/>
    </row>
    <row r="283" spans="55:82" hidden="1" x14ac:dyDescent="0.25">
      <c r="BC283" s="43" t="str">
        <f t="shared" si="4"/>
        <v>II = habitat individuelstoresrénossi</v>
      </c>
      <c r="BD283" s="43" t="s">
        <v>31</v>
      </c>
      <c r="BE283" s="56" t="s">
        <v>19</v>
      </c>
      <c r="BF283" s="33" t="s">
        <v>24</v>
      </c>
      <c r="BG283" s="33" t="s">
        <v>139</v>
      </c>
      <c r="BH283" s="33">
        <v>0.5</v>
      </c>
      <c r="BI283" s="33">
        <v>0.5</v>
      </c>
      <c r="CC283" s="58"/>
      <c r="CD283" s="58"/>
    </row>
    <row r="284" spans="55:82" hidden="1" x14ac:dyDescent="0.25">
      <c r="BC284" s="43" t="str">
        <f t="shared" si="4"/>
        <v>I = habitat collectiftprénossj</v>
      </c>
      <c r="BD284" s="43" t="s">
        <v>4</v>
      </c>
      <c r="BE284" s="56" t="s">
        <v>5</v>
      </c>
      <c r="BF284" s="33" t="s">
        <v>24</v>
      </c>
      <c r="BG284" s="33" t="s">
        <v>140</v>
      </c>
      <c r="BH284" s="33">
        <v>0.2</v>
      </c>
      <c r="BI284" s="33">
        <v>0.2</v>
      </c>
      <c r="CC284" s="58"/>
      <c r="CD284" s="58"/>
    </row>
    <row r="285" spans="55:82" hidden="1" x14ac:dyDescent="0.25">
      <c r="BC285" s="43" t="str">
        <f t="shared" si="4"/>
        <v>I = habitat collectifmrénossj</v>
      </c>
      <c r="BD285" s="43" t="s">
        <v>4</v>
      </c>
      <c r="BE285" s="56" t="s">
        <v>8</v>
      </c>
      <c r="BF285" s="33" t="s">
        <v>24</v>
      </c>
      <c r="BG285" s="33" t="s">
        <v>140</v>
      </c>
      <c r="BH285" s="33">
        <v>0.25</v>
      </c>
      <c r="BI285" s="33">
        <v>0.28000000000000003</v>
      </c>
      <c r="CC285" s="58"/>
      <c r="CD285" s="58"/>
    </row>
    <row r="286" spans="55:82" hidden="1" x14ac:dyDescent="0.25">
      <c r="BC286" s="43" t="str">
        <f t="shared" si="4"/>
        <v>I = habitat collectifsrénossj</v>
      </c>
      <c r="BD286" s="43" t="s">
        <v>4</v>
      </c>
      <c r="BE286" s="56" t="s">
        <v>11</v>
      </c>
      <c r="BF286" s="33" t="s">
        <v>24</v>
      </c>
      <c r="BG286" s="33" t="s">
        <v>140</v>
      </c>
      <c r="BH286" s="33">
        <v>0.25</v>
      </c>
      <c r="BI286" s="33">
        <v>0.28000000000000003</v>
      </c>
      <c r="CC286" s="58"/>
      <c r="CD286" s="58"/>
    </row>
    <row r="287" spans="55:82" hidden="1" x14ac:dyDescent="0.25">
      <c r="BC287" s="43" t="str">
        <f t="shared" si="4"/>
        <v>I = habitat collectiffenrénossj</v>
      </c>
      <c r="BD287" s="43" t="s">
        <v>4</v>
      </c>
      <c r="BE287" s="56" t="s">
        <v>12</v>
      </c>
      <c r="BF287" s="33" t="s">
        <v>24</v>
      </c>
      <c r="BG287" s="33" t="s">
        <v>140</v>
      </c>
      <c r="BH287" s="33" t="s">
        <v>145</v>
      </c>
      <c r="BI287" s="33" t="s">
        <v>146</v>
      </c>
      <c r="CC287" s="58"/>
      <c r="CD287" s="58"/>
    </row>
    <row r="288" spans="55:82" hidden="1" x14ac:dyDescent="0.25">
      <c r="BC288" s="43" t="str">
        <f t="shared" si="4"/>
        <v>I = habitat collectifportesrénossj</v>
      </c>
      <c r="BD288" s="43" t="s">
        <v>4</v>
      </c>
      <c r="BE288" s="56" t="s">
        <v>15</v>
      </c>
      <c r="BF288" s="33" t="s">
        <v>24</v>
      </c>
      <c r="BG288" s="33" t="s">
        <v>140</v>
      </c>
      <c r="BH288" s="33">
        <v>1.2</v>
      </c>
      <c r="BI288" s="33">
        <v>1.5</v>
      </c>
      <c r="CC288" s="58"/>
      <c r="CD288" s="58"/>
    </row>
    <row r="289" spans="55:82" hidden="1" x14ac:dyDescent="0.25">
      <c r="BC289" s="43" t="str">
        <f t="shared" si="4"/>
        <v>I = habitat collectifp343rénossj</v>
      </c>
      <c r="BD289" s="43" t="s">
        <v>4</v>
      </c>
      <c r="BE289" s="56" t="s">
        <v>16</v>
      </c>
      <c r="BF289" s="33" t="s">
        <v>24</v>
      </c>
      <c r="BG289" s="33" t="s">
        <v>140</v>
      </c>
      <c r="BH289" s="33">
        <v>1.7</v>
      </c>
      <c r="BI289" s="33">
        <v>2</v>
      </c>
      <c r="CC289" s="58"/>
      <c r="CD289" s="58"/>
    </row>
    <row r="290" spans="55:82" hidden="1" x14ac:dyDescent="0.25">
      <c r="BC290" s="43" t="str">
        <f t="shared" si="4"/>
        <v>I = habitat collectifstoresrénossj</v>
      </c>
      <c r="BD290" s="43" t="s">
        <v>4</v>
      </c>
      <c r="BE290" s="56" t="s">
        <v>19</v>
      </c>
      <c r="BF290" s="33" t="s">
        <v>24</v>
      </c>
      <c r="BG290" s="33" t="s">
        <v>140</v>
      </c>
      <c r="BH290" s="33">
        <v>0.5</v>
      </c>
      <c r="BI290" s="33">
        <v>0.5</v>
      </c>
      <c r="CC290" s="58"/>
      <c r="CD290" s="58"/>
    </row>
    <row r="291" spans="55:82" hidden="1" x14ac:dyDescent="0.25">
      <c r="BC291" s="43" t="str">
        <f t="shared" si="4"/>
        <v>II = habitat individueltprénossj</v>
      </c>
      <c r="BD291" s="43" t="s">
        <v>31</v>
      </c>
      <c r="BE291" s="56" t="s">
        <v>5</v>
      </c>
      <c r="BF291" s="33" t="s">
        <v>24</v>
      </c>
      <c r="BG291" s="33" t="s">
        <v>140</v>
      </c>
      <c r="BH291" s="33">
        <v>0.2</v>
      </c>
      <c r="BI291" s="33">
        <v>0.2</v>
      </c>
      <c r="CC291" s="58"/>
      <c r="CD291" s="58"/>
    </row>
    <row r="292" spans="55:82" hidden="1" x14ac:dyDescent="0.25">
      <c r="BC292" s="43" t="str">
        <f t="shared" si="4"/>
        <v>II = habitat individuelmrénossj</v>
      </c>
      <c r="BD292" s="43" t="s">
        <v>31</v>
      </c>
      <c r="BE292" s="56" t="s">
        <v>8</v>
      </c>
      <c r="BF292" s="33" t="s">
        <v>24</v>
      </c>
      <c r="BG292" s="33" t="s">
        <v>140</v>
      </c>
      <c r="BH292" s="33">
        <v>0.25</v>
      </c>
      <c r="BI292" s="33">
        <v>0.28000000000000003</v>
      </c>
      <c r="CC292" s="58"/>
      <c r="CD292" s="58"/>
    </row>
    <row r="293" spans="55:82" hidden="1" x14ac:dyDescent="0.25">
      <c r="BC293" s="43" t="str">
        <f t="shared" si="4"/>
        <v>II = habitat individuelsrénossj</v>
      </c>
      <c r="BD293" s="43" t="s">
        <v>31</v>
      </c>
      <c r="BE293" s="56" t="s">
        <v>11</v>
      </c>
      <c r="BF293" s="33" t="s">
        <v>24</v>
      </c>
      <c r="BG293" s="33" t="s">
        <v>140</v>
      </c>
      <c r="BH293" s="33">
        <v>0.25</v>
      </c>
      <c r="BI293" s="33">
        <v>0.28000000000000003</v>
      </c>
      <c r="CC293" s="58"/>
      <c r="CD293" s="58"/>
    </row>
    <row r="294" spans="55:82" hidden="1" x14ac:dyDescent="0.25">
      <c r="BC294" s="43" t="str">
        <f t="shared" si="4"/>
        <v>II = habitat individuelfenrénossj</v>
      </c>
      <c r="BD294" s="43" t="s">
        <v>31</v>
      </c>
      <c r="BE294" s="56" t="s">
        <v>12</v>
      </c>
      <c r="BF294" s="33" t="s">
        <v>24</v>
      </c>
      <c r="BG294" s="33" t="s">
        <v>140</v>
      </c>
      <c r="BH294" s="33" t="s">
        <v>145</v>
      </c>
      <c r="BI294" s="33" t="s">
        <v>146</v>
      </c>
      <c r="CC294" s="58"/>
      <c r="CD294" s="58"/>
    </row>
    <row r="295" spans="55:82" hidden="1" x14ac:dyDescent="0.25">
      <c r="BC295" s="43" t="str">
        <f t="shared" si="4"/>
        <v>II = habitat individuelportesrénossj</v>
      </c>
      <c r="BD295" s="43" t="s">
        <v>31</v>
      </c>
      <c r="BE295" s="56" t="s">
        <v>15</v>
      </c>
      <c r="BF295" s="33" t="s">
        <v>24</v>
      </c>
      <c r="BG295" s="33" t="s">
        <v>140</v>
      </c>
      <c r="BH295" s="33">
        <v>1.2</v>
      </c>
      <c r="BI295" s="33">
        <v>1.5</v>
      </c>
      <c r="CC295" s="58"/>
      <c r="CD295" s="58"/>
    </row>
    <row r="296" spans="55:82" hidden="1" x14ac:dyDescent="0.25">
      <c r="BC296" s="43" t="str">
        <f t="shared" si="4"/>
        <v>II = habitat individuelp343rénossj</v>
      </c>
      <c r="BD296" s="43" t="s">
        <v>31</v>
      </c>
      <c r="BE296" s="56" t="s">
        <v>16</v>
      </c>
      <c r="BF296" s="33" t="s">
        <v>24</v>
      </c>
      <c r="BG296" s="33" t="s">
        <v>140</v>
      </c>
      <c r="BH296" s="33">
        <v>1.7</v>
      </c>
      <c r="BI296" s="33">
        <v>2</v>
      </c>
      <c r="CC296" s="58"/>
      <c r="CD296" s="58"/>
    </row>
    <row r="297" spans="55:82" hidden="1" x14ac:dyDescent="0.25">
      <c r="BC297" s="43" t="str">
        <f t="shared" si="4"/>
        <v>II = habitat individuelstoresrénossj</v>
      </c>
      <c r="BD297" s="43" t="s">
        <v>31</v>
      </c>
      <c r="BE297" s="56" t="s">
        <v>19</v>
      </c>
      <c r="BF297" s="33" t="s">
        <v>24</v>
      </c>
      <c r="BG297" s="33" t="s">
        <v>140</v>
      </c>
      <c r="BH297" s="33">
        <v>0.5</v>
      </c>
      <c r="BI297" s="33">
        <v>0.5</v>
      </c>
      <c r="CC297" s="58"/>
      <c r="CD297" s="58"/>
    </row>
    <row r="298" spans="55:82" hidden="1" x14ac:dyDescent="0.25">
      <c r="BC298" s="43" t="str">
        <f t="shared" si="4"/>
        <v>I = habitat collectiftprénossk</v>
      </c>
      <c r="BD298" s="43" t="s">
        <v>4</v>
      </c>
      <c r="BE298" s="56" t="s">
        <v>5</v>
      </c>
      <c r="BF298" s="33" t="s">
        <v>24</v>
      </c>
      <c r="BG298" s="33" t="s">
        <v>141</v>
      </c>
      <c r="BH298" s="33">
        <v>0.25</v>
      </c>
      <c r="BI298" s="33">
        <v>0.28000000000000003</v>
      </c>
      <c r="CC298" s="58"/>
      <c r="CD298" s="58"/>
    </row>
    <row r="299" spans="55:82" hidden="1" x14ac:dyDescent="0.25">
      <c r="BC299" s="43" t="str">
        <f t="shared" si="4"/>
        <v>I = habitat collectifmrénossk</v>
      </c>
      <c r="BD299" s="43" t="s">
        <v>4</v>
      </c>
      <c r="BE299" s="56" t="s">
        <v>8</v>
      </c>
      <c r="BF299" s="33" t="s">
        <v>24</v>
      </c>
      <c r="BG299" s="33" t="s">
        <v>141</v>
      </c>
      <c r="BH299" s="33">
        <v>0.25</v>
      </c>
      <c r="BI299" s="33">
        <v>0.28000000000000003</v>
      </c>
      <c r="CC299" s="58"/>
      <c r="CD299" s="58"/>
    </row>
    <row r="300" spans="55:82" hidden="1" x14ac:dyDescent="0.25">
      <c r="BC300" s="43" t="str">
        <f t="shared" si="4"/>
        <v>I = habitat collectifsrénossk</v>
      </c>
      <c r="BD300" s="43" t="s">
        <v>4</v>
      </c>
      <c r="BE300" s="56" t="s">
        <v>11</v>
      </c>
      <c r="BF300" s="33" t="s">
        <v>24</v>
      </c>
      <c r="BG300" s="33" t="s">
        <v>141</v>
      </c>
      <c r="BH300" s="33">
        <v>0.25</v>
      </c>
      <c r="BI300" s="33">
        <v>0.28000000000000003</v>
      </c>
      <c r="CC300" s="58"/>
      <c r="CD300" s="58"/>
    </row>
    <row r="301" spans="55:82" hidden="1" x14ac:dyDescent="0.25">
      <c r="BC301" s="43" t="str">
        <f t="shared" si="4"/>
        <v>I = habitat collectiffenrénossk</v>
      </c>
      <c r="BD301" s="43" t="s">
        <v>4</v>
      </c>
      <c r="BE301" s="56" t="s">
        <v>12</v>
      </c>
      <c r="BF301" s="33" t="s">
        <v>24</v>
      </c>
      <c r="BG301" s="33" t="s">
        <v>141</v>
      </c>
      <c r="BH301" s="33" t="s">
        <v>145</v>
      </c>
      <c r="BI301" s="33" t="s">
        <v>146</v>
      </c>
      <c r="CC301" s="58"/>
      <c r="CD301" s="58"/>
    </row>
    <row r="302" spans="55:82" hidden="1" x14ac:dyDescent="0.25">
      <c r="BC302" s="43" t="str">
        <f t="shared" si="4"/>
        <v>I = habitat collectifportesrénossk</v>
      </c>
      <c r="BD302" s="43" t="s">
        <v>4</v>
      </c>
      <c r="BE302" s="56" t="s">
        <v>15</v>
      </c>
      <c r="BF302" s="33" t="s">
        <v>24</v>
      </c>
      <c r="BG302" s="33" t="s">
        <v>141</v>
      </c>
      <c r="BH302" s="33">
        <v>1.2</v>
      </c>
      <c r="BI302" s="33">
        <v>1.5</v>
      </c>
      <c r="CC302" s="58"/>
      <c r="CD302" s="58"/>
    </row>
    <row r="303" spans="55:82" hidden="1" x14ac:dyDescent="0.25">
      <c r="BC303" s="43" t="str">
        <f t="shared" si="4"/>
        <v>I = habitat collectifp343rénossk</v>
      </c>
      <c r="BD303" s="43" t="s">
        <v>4</v>
      </c>
      <c r="BE303" s="56" t="s">
        <v>16</v>
      </c>
      <c r="BF303" s="33" t="s">
        <v>24</v>
      </c>
      <c r="BG303" s="33" t="s">
        <v>141</v>
      </c>
      <c r="BH303" s="33">
        <v>1.7</v>
      </c>
      <c r="BI303" s="33">
        <v>2</v>
      </c>
    </row>
    <row r="304" spans="55:82" hidden="1" x14ac:dyDescent="0.25">
      <c r="BC304" s="43" t="str">
        <f t="shared" si="4"/>
        <v>I = habitat collectifstoresrénossk</v>
      </c>
      <c r="BD304" s="43" t="s">
        <v>4</v>
      </c>
      <c r="BE304" s="56" t="s">
        <v>19</v>
      </c>
      <c r="BF304" s="33" t="s">
        <v>24</v>
      </c>
      <c r="BG304" s="33" t="s">
        <v>141</v>
      </c>
      <c r="BH304" s="33">
        <v>0.5</v>
      </c>
      <c r="BI304" s="33">
        <v>0.5</v>
      </c>
    </row>
    <row r="305" spans="55:82" hidden="1" x14ac:dyDescent="0.25">
      <c r="BC305" s="43" t="str">
        <f t="shared" si="4"/>
        <v>II = habitat individueltprénossk</v>
      </c>
      <c r="BD305" s="43" t="s">
        <v>31</v>
      </c>
      <c r="BE305" s="56" t="s">
        <v>5</v>
      </c>
      <c r="BF305" s="33" t="s">
        <v>24</v>
      </c>
      <c r="BG305" s="33" t="s">
        <v>141</v>
      </c>
      <c r="BH305" s="33">
        <v>0.25</v>
      </c>
      <c r="BI305" s="33">
        <v>0.28000000000000003</v>
      </c>
    </row>
    <row r="306" spans="55:82" hidden="1" x14ac:dyDescent="0.25">
      <c r="BC306" s="43" t="str">
        <f t="shared" si="4"/>
        <v>II = habitat individuelmrénossk</v>
      </c>
      <c r="BD306" s="43" t="s">
        <v>31</v>
      </c>
      <c r="BE306" s="56" t="s">
        <v>8</v>
      </c>
      <c r="BF306" s="33" t="s">
        <v>24</v>
      </c>
      <c r="BG306" s="33" t="s">
        <v>141</v>
      </c>
      <c r="BH306" s="33">
        <v>0.25</v>
      </c>
      <c r="BI306" s="33">
        <v>0.28000000000000003</v>
      </c>
    </row>
    <row r="307" spans="55:82" hidden="1" x14ac:dyDescent="0.25">
      <c r="BC307" s="43" t="str">
        <f t="shared" si="4"/>
        <v>II = habitat individuelsrénossk</v>
      </c>
      <c r="BD307" s="43" t="s">
        <v>31</v>
      </c>
      <c r="BE307" s="56" t="s">
        <v>11</v>
      </c>
      <c r="BF307" s="33" t="s">
        <v>24</v>
      </c>
      <c r="BG307" s="33" t="s">
        <v>141</v>
      </c>
      <c r="BH307" s="33">
        <v>0.25</v>
      </c>
      <c r="BI307" s="33">
        <v>0.28000000000000003</v>
      </c>
    </row>
    <row r="308" spans="55:82" hidden="1" x14ac:dyDescent="0.25">
      <c r="BC308" s="43" t="str">
        <f t="shared" si="4"/>
        <v>II = habitat individuelfenrénossk</v>
      </c>
      <c r="BD308" s="43" t="s">
        <v>31</v>
      </c>
      <c r="BE308" s="56" t="s">
        <v>12</v>
      </c>
      <c r="BF308" s="33" t="s">
        <v>24</v>
      </c>
      <c r="BG308" s="33" t="s">
        <v>141</v>
      </c>
      <c r="BH308" s="33" t="s">
        <v>145</v>
      </c>
      <c r="BI308" s="33" t="s">
        <v>146</v>
      </c>
    </row>
    <row r="309" spans="55:82" hidden="1" x14ac:dyDescent="0.25">
      <c r="BC309" s="43" t="str">
        <f t="shared" si="4"/>
        <v>II = habitat individuelportesrénossk</v>
      </c>
      <c r="BD309" s="43" t="s">
        <v>31</v>
      </c>
      <c r="BE309" s="56" t="s">
        <v>15</v>
      </c>
      <c r="BF309" s="33" t="s">
        <v>24</v>
      </c>
      <c r="BG309" s="33" t="s">
        <v>141</v>
      </c>
      <c r="BH309" s="33">
        <v>1.2</v>
      </c>
      <c r="BI309" s="33">
        <v>1.5</v>
      </c>
    </row>
    <row r="310" spans="55:82" hidden="1" x14ac:dyDescent="0.25">
      <c r="BC310" s="43" t="str">
        <f t="shared" si="4"/>
        <v>II = habitat individuelp343rénossk</v>
      </c>
      <c r="BD310" s="43" t="s">
        <v>31</v>
      </c>
      <c r="BE310" s="56" t="s">
        <v>16</v>
      </c>
      <c r="BF310" s="33" t="s">
        <v>24</v>
      </c>
      <c r="BG310" s="33" t="s">
        <v>141</v>
      </c>
      <c r="BH310" s="33">
        <v>1.7</v>
      </c>
      <c r="BI310" s="33">
        <v>2</v>
      </c>
    </row>
    <row r="311" spans="55:82" hidden="1" x14ac:dyDescent="0.25">
      <c r="BC311" s="43" t="str">
        <f t="shared" si="4"/>
        <v>II = habitat individuelstoresrénossk</v>
      </c>
      <c r="BD311" s="43" t="s">
        <v>31</v>
      </c>
      <c r="BE311" s="56" t="s">
        <v>19</v>
      </c>
      <c r="BF311" s="33" t="s">
        <v>24</v>
      </c>
      <c r="BG311" s="33" t="s">
        <v>141</v>
      </c>
      <c r="BH311" s="33">
        <v>0.5</v>
      </c>
      <c r="BI311" s="33">
        <v>0.5</v>
      </c>
      <c r="CC311" s="58"/>
      <c r="CD311" s="58"/>
    </row>
    <row r="312" spans="55:82" hidden="1" x14ac:dyDescent="0.25">
      <c r="BC312" s="43"/>
      <c r="CC312" s="58"/>
      <c r="CD312" s="58"/>
    </row>
    <row r="313" spans="55:82" hidden="1" x14ac:dyDescent="0.25">
      <c r="BC313" s="43" t="str">
        <f t="shared" si="4"/>
        <v/>
      </c>
      <c r="CC313" s="58"/>
      <c r="CD313" s="58"/>
    </row>
    <row r="314" spans="55:82" hidden="1" x14ac:dyDescent="0.25">
      <c r="BC314" s="43" t="str">
        <f t="shared" si="4"/>
        <v/>
      </c>
      <c r="CC314" s="58"/>
      <c r="CD314" s="58"/>
    </row>
    <row r="315" spans="55:82" hidden="1" x14ac:dyDescent="0.25">
      <c r="BC315" s="43" t="str">
        <f t="shared" si="4"/>
        <v/>
      </c>
      <c r="CC315" s="58"/>
      <c r="CD315" s="58"/>
    </row>
    <row r="316" spans="55:82" hidden="1" x14ac:dyDescent="0.25">
      <c r="BC316" s="43" t="str">
        <f t="shared" si="4"/>
        <v/>
      </c>
      <c r="CC316" s="58"/>
      <c r="CD316" s="58"/>
    </row>
    <row r="317" spans="55:82" hidden="1" x14ac:dyDescent="0.25">
      <c r="BC317" s="43" t="str">
        <f t="shared" si="4"/>
        <v/>
      </c>
      <c r="CC317" s="58"/>
      <c r="CD317" s="58"/>
    </row>
    <row r="318" spans="55:82" hidden="1" x14ac:dyDescent="0.25">
      <c r="BC318" s="43" t="str">
        <f t="shared" si="4"/>
        <v/>
      </c>
      <c r="CC318" s="58"/>
      <c r="CD318" s="58"/>
    </row>
    <row r="319" spans="55:82" hidden="1" x14ac:dyDescent="0.25">
      <c r="BC319" s="43" t="str">
        <f t="shared" si="4"/>
        <v/>
      </c>
      <c r="CC319" s="58"/>
      <c r="CD319" s="58"/>
    </row>
    <row r="320" spans="55:82" hidden="1" x14ac:dyDescent="0.25">
      <c r="BC320" s="43" t="str">
        <f t="shared" si="4"/>
        <v/>
      </c>
      <c r="CC320" s="58"/>
      <c r="CD320" s="58"/>
    </row>
    <row r="321" spans="55:82" hidden="1" x14ac:dyDescent="0.25">
      <c r="BC321" s="43" t="str">
        <f t="shared" si="4"/>
        <v/>
      </c>
    </row>
    <row r="322" spans="55:82" hidden="1" x14ac:dyDescent="0.25">
      <c r="BC322" s="43" t="str">
        <f t="shared" si="4"/>
        <v/>
      </c>
    </row>
    <row r="323" spans="55:82" hidden="1" x14ac:dyDescent="0.25">
      <c r="BC323" s="43" t="str">
        <f t="shared" si="4"/>
        <v/>
      </c>
      <c r="CC323" s="58"/>
      <c r="CD323" s="58"/>
    </row>
    <row r="324" spans="55:82" hidden="1" x14ac:dyDescent="0.25">
      <c r="BC324" s="43" t="str">
        <f t="shared" si="4"/>
        <v/>
      </c>
      <c r="CC324" s="58"/>
      <c r="CD324" s="58"/>
    </row>
    <row r="325" spans="55:82" hidden="1" x14ac:dyDescent="0.25">
      <c r="BC325" s="43" t="str">
        <f t="shared" si="4"/>
        <v/>
      </c>
      <c r="CC325" s="58"/>
      <c r="CD325" s="58"/>
    </row>
    <row r="326" spans="55:82" hidden="1" x14ac:dyDescent="0.25">
      <c r="BC326" s="43" t="str">
        <f t="shared" si="4"/>
        <v/>
      </c>
    </row>
    <row r="327" spans="55:82" hidden="1" x14ac:dyDescent="0.25">
      <c r="BC327" s="43" t="str">
        <f t="shared" si="4"/>
        <v/>
      </c>
    </row>
    <row r="328" spans="55:82" hidden="1" x14ac:dyDescent="0.25">
      <c r="BC328" s="43" t="str">
        <f t="shared" si="4"/>
        <v/>
      </c>
    </row>
    <row r="329" spans="55:82" hidden="1" x14ac:dyDescent="0.25">
      <c r="BC329" s="43" t="str">
        <f t="shared" ref="BC329:BC392" si="5">BD329&amp;BE329&amp;BF329&amp;BG329</f>
        <v/>
      </c>
    </row>
    <row r="330" spans="55:82" hidden="1" x14ac:dyDescent="0.25">
      <c r="BC330" s="43" t="str">
        <f t="shared" si="5"/>
        <v/>
      </c>
    </row>
    <row r="331" spans="55:82" hidden="1" x14ac:dyDescent="0.25">
      <c r="BC331" s="43" t="str">
        <f t="shared" si="5"/>
        <v/>
      </c>
    </row>
    <row r="332" spans="55:82" hidden="1" x14ac:dyDescent="0.25">
      <c r="BC332" s="43" t="str">
        <f t="shared" si="5"/>
        <v/>
      </c>
      <c r="CC332" s="58"/>
      <c r="CD332" s="58"/>
    </row>
    <row r="333" spans="55:82" hidden="1" x14ac:dyDescent="0.25">
      <c r="BC333" s="43" t="str">
        <f t="shared" si="5"/>
        <v/>
      </c>
      <c r="CC333" s="58"/>
      <c r="CD333" s="58"/>
    </row>
    <row r="334" spans="55:82" hidden="1" x14ac:dyDescent="0.25">
      <c r="BC334" s="43" t="str">
        <f t="shared" si="5"/>
        <v/>
      </c>
      <c r="CC334" s="58"/>
      <c r="CD334" s="58"/>
    </row>
    <row r="335" spans="55:82" hidden="1" x14ac:dyDescent="0.25">
      <c r="BC335" s="43" t="str">
        <f t="shared" si="5"/>
        <v/>
      </c>
      <c r="CC335" s="58"/>
      <c r="CD335" s="58"/>
    </row>
    <row r="336" spans="55:82" hidden="1" x14ac:dyDescent="0.25">
      <c r="BC336" s="43" t="str">
        <f t="shared" si="5"/>
        <v/>
      </c>
    </row>
    <row r="337" spans="55:55" hidden="1" x14ac:dyDescent="0.25">
      <c r="BC337" s="43" t="str">
        <f t="shared" si="5"/>
        <v/>
      </c>
    </row>
    <row r="338" spans="55:55" hidden="1" x14ac:dyDescent="0.25">
      <c r="BC338" s="43" t="str">
        <f t="shared" si="5"/>
        <v/>
      </c>
    </row>
    <row r="339" spans="55:55" hidden="1" x14ac:dyDescent="0.25">
      <c r="BC339" s="43" t="str">
        <f t="shared" si="5"/>
        <v/>
      </c>
    </row>
    <row r="340" spans="55:55" hidden="1" x14ac:dyDescent="0.25">
      <c r="BC340" s="43" t="str">
        <f t="shared" si="5"/>
        <v/>
      </c>
    </row>
    <row r="341" spans="55:55" hidden="1" x14ac:dyDescent="0.25">
      <c r="BC341" s="43" t="str">
        <f t="shared" si="5"/>
        <v/>
      </c>
    </row>
    <row r="342" spans="55:55" hidden="1" x14ac:dyDescent="0.25">
      <c r="BC342" s="43" t="str">
        <f t="shared" si="5"/>
        <v/>
      </c>
    </row>
    <row r="343" spans="55:55" hidden="1" x14ac:dyDescent="0.25">
      <c r="BC343" s="43" t="str">
        <f t="shared" si="5"/>
        <v/>
      </c>
    </row>
    <row r="344" spans="55:55" hidden="1" x14ac:dyDescent="0.25">
      <c r="BC344" s="43" t="str">
        <f t="shared" si="5"/>
        <v/>
      </c>
    </row>
    <row r="345" spans="55:55" hidden="1" x14ac:dyDescent="0.25">
      <c r="BC345" s="43" t="str">
        <f t="shared" si="5"/>
        <v/>
      </c>
    </row>
    <row r="346" spans="55:55" hidden="1" x14ac:dyDescent="0.25">
      <c r="BC346" s="43" t="str">
        <f t="shared" si="5"/>
        <v/>
      </c>
    </row>
    <row r="347" spans="55:55" hidden="1" x14ac:dyDescent="0.25">
      <c r="BC347" s="43" t="str">
        <f t="shared" si="5"/>
        <v/>
      </c>
    </row>
    <row r="348" spans="55:55" hidden="1" x14ac:dyDescent="0.25">
      <c r="BC348" s="43" t="str">
        <f t="shared" si="5"/>
        <v/>
      </c>
    </row>
    <row r="349" spans="55:55" hidden="1" x14ac:dyDescent="0.25">
      <c r="BC349" s="43" t="str">
        <f t="shared" si="5"/>
        <v/>
      </c>
    </row>
    <row r="350" spans="55:55" hidden="1" x14ac:dyDescent="0.25">
      <c r="BC350" s="43" t="str">
        <f t="shared" si="5"/>
        <v/>
      </c>
    </row>
    <row r="351" spans="55:55" hidden="1" x14ac:dyDescent="0.25">
      <c r="BC351" s="43" t="str">
        <f t="shared" si="5"/>
        <v/>
      </c>
    </row>
    <row r="352" spans="55:55" hidden="1" x14ac:dyDescent="0.25">
      <c r="BC352" s="43" t="str">
        <f t="shared" si="5"/>
        <v/>
      </c>
    </row>
    <row r="353" spans="55:55" hidden="1" x14ac:dyDescent="0.25">
      <c r="BC353" s="43" t="str">
        <f t="shared" si="5"/>
        <v/>
      </c>
    </row>
    <row r="354" spans="55:55" hidden="1" x14ac:dyDescent="0.25">
      <c r="BC354" s="43" t="str">
        <f t="shared" si="5"/>
        <v/>
      </c>
    </row>
    <row r="355" spans="55:55" hidden="1" x14ac:dyDescent="0.25">
      <c r="BC355" s="43" t="str">
        <f t="shared" si="5"/>
        <v/>
      </c>
    </row>
    <row r="356" spans="55:55" hidden="1" x14ac:dyDescent="0.25">
      <c r="BC356" s="43" t="str">
        <f t="shared" si="5"/>
        <v/>
      </c>
    </row>
    <row r="357" spans="55:55" hidden="1" x14ac:dyDescent="0.25">
      <c r="BC357" s="43" t="str">
        <f t="shared" si="5"/>
        <v/>
      </c>
    </row>
    <row r="358" spans="55:55" hidden="1" x14ac:dyDescent="0.25">
      <c r="BC358" s="43" t="str">
        <f t="shared" si="5"/>
        <v/>
      </c>
    </row>
    <row r="359" spans="55:55" hidden="1" x14ac:dyDescent="0.25">
      <c r="BC359" s="43" t="str">
        <f t="shared" si="5"/>
        <v/>
      </c>
    </row>
    <row r="360" spans="55:55" hidden="1" x14ac:dyDescent="0.25">
      <c r="BC360" s="43" t="str">
        <f t="shared" si="5"/>
        <v/>
      </c>
    </row>
    <row r="361" spans="55:55" hidden="1" x14ac:dyDescent="0.25">
      <c r="BC361" s="43" t="str">
        <f t="shared" si="5"/>
        <v/>
      </c>
    </row>
    <row r="362" spans="55:55" hidden="1" x14ac:dyDescent="0.25">
      <c r="BC362" s="43" t="str">
        <f t="shared" si="5"/>
        <v/>
      </c>
    </row>
    <row r="363" spans="55:55" hidden="1" x14ac:dyDescent="0.25">
      <c r="BC363" s="43" t="str">
        <f t="shared" si="5"/>
        <v/>
      </c>
    </row>
    <row r="364" spans="55:55" hidden="1" x14ac:dyDescent="0.25">
      <c r="BC364" s="43" t="str">
        <f t="shared" si="5"/>
        <v/>
      </c>
    </row>
    <row r="365" spans="55:55" hidden="1" x14ac:dyDescent="0.25">
      <c r="BC365" s="43" t="str">
        <f t="shared" si="5"/>
        <v/>
      </c>
    </row>
    <row r="366" spans="55:55" hidden="1" x14ac:dyDescent="0.25">
      <c r="BC366" s="43" t="str">
        <f t="shared" si="5"/>
        <v/>
      </c>
    </row>
    <row r="367" spans="55:55" hidden="1" x14ac:dyDescent="0.25">
      <c r="BC367" s="43" t="str">
        <f t="shared" si="5"/>
        <v/>
      </c>
    </row>
    <row r="368" spans="55:55" hidden="1" x14ac:dyDescent="0.25">
      <c r="BC368" s="43" t="str">
        <f t="shared" si="5"/>
        <v/>
      </c>
    </row>
    <row r="369" spans="55:55" hidden="1" x14ac:dyDescent="0.25">
      <c r="BC369" s="43" t="str">
        <f t="shared" si="5"/>
        <v/>
      </c>
    </row>
    <row r="370" spans="55:55" hidden="1" x14ac:dyDescent="0.25">
      <c r="BC370" s="43" t="str">
        <f t="shared" si="5"/>
        <v/>
      </c>
    </row>
    <row r="371" spans="55:55" hidden="1" x14ac:dyDescent="0.25">
      <c r="BC371" s="43" t="str">
        <f t="shared" si="5"/>
        <v/>
      </c>
    </row>
    <row r="372" spans="55:55" hidden="1" x14ac:dyDescent="0.25">
      <c r="BC372" s="43" t="str">
        <f t="shared" si="5"/>
        <v/>
      </c>
    </row>
    <row r="373" spans="55:55" hidden="1" x14ac:dyDescent="0.25">
      <c r="BC373" s="43" t="str">
        <f t="shared" si="5"/>
        <v/>
      </c>
    </row>
    <row r="374" spans="55:55" hidden="1" x14ac:dyDescent="0.25">
      <c r="BC374" s="43" t="str">
        <f t="shared" si="5"/>
        <v/>
      </c>
    </row>
    <row r="375" spans="55:55" hidden="1" x14ac:dyDescent="0.25">
      <c r="BC375" s="43" t="str">
        <f t="shared" si="5"/>
        <v/>
      </c>
    </row>
    <row r="376" spans="55:55" hidden="1" x14ac:dyDescent="0.25">
      <c r="BC376" s="43" t="str">
        <f t="shared" si="5"/>
        <v/>
      </c>
    </row>
    <row r="377" spans="55:55" hidden="1" x14ac:dyDescent="0.25">
      <c r="BC377" s="43" t="str">
        <f t="shared" si="5"/>
        <v/>
      </c>
    </row>
    <row r="378" spans="55:55" hidden="1" x14ac:dyDescent="0.25">
      <c r="BC378" s="43" t="str">
        <f t="shared" si="5"/>
        <v/>
      </c>
    </row>
    <row r="379" spans="55:55" hidden="1" x14ac:dyDescent="0.25">
      <c r="BC379" s="43" t="str">
        <f t="shared" si="5"/>
        <v/>
      </c>
    </row>
    <row r="380" spans="55:55" hidden="1" x14ac:dyDescent="0.25">
      <c r="BC380" s="43" t="str">
        <f t="shared" si="5"/>
        <v/>
      </c>
    </row>
    <row r="381" spans="55:55" hidden="1" x14ac:dyDescent="0.25">
      <c r="BC381" s="43" t="str">
        <f t="shared" si="5"/>
        <v/>
      </c>
    </row>
    <row r="382" spans="55:55" hidden="1" x14ac:dyDescent="0.25">
      <c r="BC382" s="43" t="str">
        <f t="shared" si="5"/>
        <v/>
      </c>
    </row>
    <row r="383" spans="55:55" hidden="1" x14ac:dyDescent="0.25">
      <c r="BC383" s="43" t="str">
        <f t="shared" si="5"/>
        <v/>
      </c>
    </row>
    <row r="384" spans="55:55" hidden="1" x14ac:dyDescent="0.25">
      <c r="BC384" s="43" t="str">
        <f t="shared" si="5"/>
        <v/>
      </c>
    </row>
    <row r="385" spans="55:55" hidden="1" x14ac:dyDescent="0.25">
      <c r="BC385" s="43" t="str">
        <f t="shared" si="5"/>
        <v/>
      </c>
    </row>
    <row r="386" spans="55:55" hidden="1" x14ac:dyDescent="0.25">
      <c r="BC386" s="43" t="str">
        <f t="shared" si="5"/>
        <v/>
      </c>
    </row>
    <row r="387" spans="55:55" hidden="1" x14ac:dyDescent="0.25">
      <c r="BC387" s="43" t="str">
        <f t="shared" si="5"/>
        <v/>
      </c>
    </row>
    <row r="388" spans="55:55" hidden="1" x14ac:dyDescent="0.25">
      <c r="BC388" s="43" t="str">
        <f t="shared" si="5"/>
        <v/>
      </c>
    </row>
    <row r="389" spans="55:55" hidden="1" x14ac:dyDescent="0.25">
      <c r="BC389" s="43" t="str">
        <f t="shared" si="5"/>
        <v/>
      </c>
    </row>
    <row r="390" spans="55:55" hidden="1" x14ac:dyDescent="0.25">
      <c r="BC390" s="43" t="str">
        <f t="shared" si="5"/>
        <v/>
      </c>
    </row>
    <row r="391" spans="55:55" hidden="1" x14ac:dyDescent="0.25">
      <c r="BC391" s="43" t="str">
        <f t="shared" si="5"/>
        <v/>
      </c>
    </row>
    <row r="392" spans="55:55" hidden="1" x14ac:dyDescent="0.25">
      <c r="BC392" s="43" t="str">
        <f t="shared" si="5"/>
        <v/>
      </c>
    </row>
    <row r="393" spans="55:55" hidden="1" x14ac:dyDescent="0.25">
      <c r="BC393" s="43" t="str">
        <f t="shared" ref="BC393:BC402" si="6">BD393&amp;BE393&amp;BF393&amp;BG393</f>
        <v/>
      </c>
    </row>
    <row r="394" spans="55:55" hidden="1" x14ac:dyDescent="0.25">
      <c r="BC394" s="43" t="str">
        <f t="shared" si="6"/>
        <v/>
      </c>
    </row>
    <row r="395" spans="55:55" hidden="1" x14ac:dyDescent="0.25">
      <c r="BC395" s="43" t="str">
        <f t="shared" si="6"/>
        <v/>
      </c>
    </row>
    <row r="396" spans="55:55" hidden="1" x14ac:dyDescent="0.25">
      <c r="BC396" s="43" t="str">
        <f t="shared" si="6"/>
        <v/>
      </c>
    </row>
    <row r="397" spans="55:55" hidden="1" x14ac:dyDescent="0.25">
      <c r="BC397" s="43" t="str">
        <f t="shared" si="6"/>
        <v/>
      </c>
    </row>
    <row r="398" spans="55:55" hidden="1" x14ac:dyDescent="0.25">
      <c r="BC398" s="43" t="str">
        <f t="shared" si="6"/>
        <v/>
      </c>
    </row>
    <row r="399" spans="55:55" hidden="1" x14ac:dyDescent="0.25">
      <c r="BC399" s="43" t="str">
        <f t="shared" si="6"/>
        <v/>
      </c>
    </row>
    <row r="400" spans="55:55" hidden="1" x14ac:dyDescent="0.25">
      <c r="BC400" s="43" t="str">
        <f t="shared" si="6"/>
        <v/>
      </c>
    </row>
    <row r="401" spans="55:57" hidden="1" x14ac:dyDescent="0.25">
      <c r="BC401" s="43" t="str">
        <f t="shared" si="6"/>
        <v/>
      </c>
    </row>
    <row r="402" spans="55:57" hidden="1" x14ac:dyDescent="0.25">
      <c r="BC402" s="43" t="str">
        <f t="shared" si="6"/>
        <v/>
      </c>
    </row>
    <row r="403" spans="55:57" hidden="1" x14ac:dyDescent="0.25">
      <c r="BC403" s="43"/>
    </row>
    <row r="404" spans="55:57" hidden="1" x14ac:dyDescent="0.25">
      <c r="BC404" s="43"/>
    </row>
    <row r="405" spans="55:57" hidden="1" x14ac:dyDescent="0.25">
      <c r="BC405" s="43"/>
      <c r="BD405" s="43"/>
      <c r="BE405" s="56"/>
    </row>
    <row r="406" spans="55:57" hidden="1" x14ac:dyDescent="0.25">
      <c r="BC406" s="43"/>
      <c r="BD406" s="43"/>
      <c r="BE406" s="56"/>
    </row>
    <row r="407" spans="55:57" hidden="1" x14ac:dyDescent="0.25">
      <c r="BC407" s="43"/>
      <c r="BD407" s="43"/>
      <c r="BE407" s="56"/>
    </row>
    <row r="408" spans="55:57" hidden="1" x14ac:dyDescent="0.25">
      <c r="BC408" s="43"/>
      <c r="BD408" s="43"/>
      <c r="BE408" s="56"/>
    </row>
    <row r="409" spans="55:57" hidden="1" x14ac:dyDescent="0.25">
      <c r="BC409" s="43"/>
      <c r="BD409" s="43"/>
      <c r="BE409" s="56"/>
    </row>
    <row r="410" spans="55:57" hidden="1" x14ac:dyDescent="0.25">
      <c r="BC410" s="43"/>
      <c r="BD410" s="43"/>
      <c r="BE410" s="56"/>
    </row>
    <row r="411" spans="55:57" hidden="1" x14ac:dyDescent="0.25">
      <c r="BC411" s="43"/>
      <c r="BD411" s="43"/>
      <c r="BE411" s="56"/>
    </row>
  </sheetData>
  <sheetProtection algorithmName="SHA-512" hashValue="aaRMpzMMQrhn9YzrLHmhTZLI10m6uNXcD7SFq/pkH+5/rI1e6fy8OSvOCQMm3sYxJJKX3aHuN6af3BP66ZDwow==" saltValue="bTt7PV9HR0paxK9L9zOAuA==" spinCount="100000" sheet="1" objects="1" scenarios="1" formatCells="0" selectLockedCells="1"/>
  <mergeCells count="189">
    <mergeCell ref="B9:D9"/>
    <mergeCell ref="B23:K23"/>
    <mergeCell ref="B2:F5"/>
    <mergeCell ref="G2:O5"/>
    <mergeCell ref="P2:X5"/>
    <mergeCell ref="Y2:AK5"/>
    <mergeCell ref="B7:E7"/>
    <mergeCell ref="F7:P7"/>
    <mergeCell ref="Q7:T7"/>
    <mergeCell ref="U7:Z7"/>
    <mergeCell ref="AB7:AE7"/>
    <mergeCell ref="AF7:AK7"/>
    <mergeCell ref="T21:AK21"/>
    <mergeCell ref="E19:G19"/>
    <mergeCell ref="O19:Q19"/>
    <mergeCell ref="R19:S19"/>
    <mergeCell ref="V19:W19"/>
    <mergeCell ref="F9:AK9"/>
    <mergeCell ref="M47:AK47"/>
    <mergeCell ref="M48:AK48"/>
    <mergeCell ref="B50:K50"/>
    <mergeCell ref="L50:W51"/>
    <mergeCell ref="X50:AJ51"/>
    <mergeCell ref="B51:K51"/>
    <mergeCell ref="B30:J30"/>
    <mergeCell ref="L35:AK35"/>
    <mergeCell ref="B37:K37"/>
    <mergeCell ref="B46:M46"/>
    <mergeCell ref="Y40:AK40"/>
    <mergeCell ref="Y44:AK44"/>
    <mergeCell ref="AF52:AJ52"/>
    <mergeCell ref="N53:P53"/>
    <mergeCell ref="Q53:S53"/>
    <mergeCell ref="T53:W53"/>
    <mergeCell ref="Z53:AB53"/>
    <mergeCell ref="AC53:AE53"/>
    <mergeCell ref="AF53:AJ53"/>
    <mergeCell ref="B52:K53"/>
    <mergeCell ref="L52:M53"/>
    <mergeCell ref="T52:W52"/>
    <mergeCell ref="X52:Y53"/>
    <mergeCell ref="Z52:AB52"/>
    <mergeCell ref="AC52:AE52"/>
    <mergeCell ref="Z54:AB54"/>
    <mergeCell ref="AC54:AE54"/>
    <mergeCell ref="AF54:AJ54"/>
    <mergeCell ref="B55:K55"/>
    <mergeCell ref="L55:M55"/>
    <mergeCell ref="N55:P55"/>
    <mergeCell ref="Q55:S55"/>
    <mergeCell ref="T55:W55"/>
    <mergeCell ref="X55:Y55"/>
    <mergeCell ref="Z55:AB55"/>
    <mergeCell ref="B54:K54"/>
    <mergeCell ref="L54:M54"/>
    <mergeCell ref="N54:P54"/>
    <mergeCell ref="Q54:S54"/>
    <mergeCell ref="T54:W54"/>
    <mergeCell ref="X54:Y54"/>
    <mergeCell ref="AC55:AE55"/>
    <mergeCell ref="AF55:AJ55"/>
    <mergeCell ref="B56:K56"/>
    <mergeCell ref="L56:M56"/>
    <mergeCell ref="N56:P56"/>
    <mergeCell ref="Q56:S56"/>
    <mergeCell ref="T56:W56"/>
    <mergeCell ref="X56:Y56"/>
    <mergeCell ref="Z56:AB56"/>
    <mergeCell ref="AC56:AE56"/>
    <mergeCell ref="AF56:AJ56"/>
    <mergeCell ref="B57:K57"/>
    <mergeCell ref="L57:M57"/>
    <mergeCell ref="N57:P57"/>
    <mergeCell ref="Q57:S57"/>
    <mergeCell ref="T57:W57"/>
    <mergeCell ref="X57:Y57"/>
    <mergeCell ref="Z57:AB57"/>
    <mergeCell ref="AC57:AE57"/>
    <mergeCell ref="AF57:AJ57"/>
    <mergeCell ref="Z58:AB58"/>
    <mergeCell ref="AC58:AE58"/>
    <mergeCell ref="AF58:AJ58"/>
    <mergeCell ref="B59:K59"/>
    <mergeCell ref="L59:M59"/>
    <mergeCell ref="N59:P59"/>
    <mergeCell ref="Q59:S59"/>
    <mergeCell ref="T59:W59"/>
    <mergeCell ref="X59:Y59"/>
    <mergeCell ref="Z59:AB59"/>
    <mergeCell ref="B58:K58"/>
    <mergeCell ref="L58:M58"/>
    <mergeCell ref="N58:P58"/>
    <mergeCell ref="Q58:S58"/>
    <mergeCell ref="T58:W58"/>
    <mergeCell ref="X58:Y58"/>
    <mergeCell ref="AC59:AE59"/>
    <mergeCell ref="AF59:AJ59"/>
    <mergeCell ref="AF60:AJ60"/>
    <mergeCell ref="B61:K61"/>
    <mergeCell ref="L61:M61"/>
    <mergeCell ref="N61:P61"/>
    <mergeCell ref="Q61:S61"/>
    <mergeCell ref="T61:W61"/>
    <mergeCell ref="X61:Y61"/>
    <mergeCell ref="Z61:AB61"/>
    <mergeCell ref="AC61:AE61"/>
    <mergeCell ref="AF61:AJ61"/>
    <mergeCell ref="B60:K60"/>
    <mergeCell ref="L60:M60"/>
    <mergeCell ref="N60:P60"/>
    <mergeCell ref="Q60:S60"/>
    <mergeCell ref="T60:W60"/>
    <mergeCell ref="X60:Y60"/>
    <mergeCell ref="Z60:AB60"/>
    <mergeCell ref="AC60:AE60"/>
    <mergeCell ref="B64:K64"/>
    <mergeCell ref="L64:M64"/>
    <mergeCell ref="N64:P64"/>
    <mergeCell ref="Q64:S64"/>
    <mergeCell ref="T64:W64"/>
    <mergeCell ref="X64:Y64"/>
    <mergeCell ref="AF62:AJ62"/>
    <mergeCell ref="N63:P63"/>
    <mergeCell ref="Q63:S63"/>
    <mergeCell ref="T63:W63"/>
    <mergeCell ref="Z63:AB63"/>
    <mergeCell ref="AC63:AE63"/>
    <mergeCell ref="AF63:AJ63"/>
    <mergeCell ref="Z64:AB64"/>
    <mergeCell ref="AC64:AE64"/>
    <mergeCell ref="AF64:AJ64"/>
    <mergeCell ref="B62:K63"/>
    <mergeCell ref="L62:M63"/>
    <mergeCell ref="N62:P62"/>
    <mergeCell ref="Q62:S62"/>
    <mergeCell ref="T62:W62"/>
    <mergeCell ref="X62:Y63"/>
    <mergeCell ref="Z62:AB62"/>
    <mergeCell ref="AC62:AE62"/>
    <mergeCell ref="AC65:AE65"/>
    <mergeCell ref="AF65:AJ65"/>
    <mergeCell ref="B66:K66"/>
    <mergeCell ref="L66:M66"/>
    <mergeCell ref="N66:P66"/>
    <mergeCell ref="Q66:S66"/>
    <mergeCell ref="T66:W66"/>
    <mergeCell ref="X66:Y66"/>
    <mergeCell ref="Z66:AB66"/>
    <mergeCell ref="AC66:AE66"/>
    <mergeCell ref="B65:K65"/>
    <mergeCell ref="L65:M65"/>
    <mergeCell ref="N65:P65"/>
    <mergeCell ref="Q65:S65"/>
    <mergeCell ref="T65:W65"/>
    <mergeCell ref="X65:Y65"/>
    <mergeCell ref="Z65:AB65"/>
    <mergeCell ref="C94:AK95"/>
    <mergeCell ref="B98:AK108"/>
    <mergeCell ref="C91:AK91"/>
    <mergeCell ref="B87:AK87"/>
    <mergeCell ref="AF66:AJ66"/>
    <mergeCell ref="B68:F71"/>
    <mergeCell ref="G68:O71"/>
    <mergeCell ref="P68:X71"/>
    <mergeCell ref="Y68:AK71"/>
    <mergeCell ref="U25:V25"/>
    <mergeCell ref="B77:P78"/>
    <mergeCell ref="C125:G125"/>
    <mergeCell ref="H125:V125"/>
    <mergeCell ref="W125:AK125"/>
    <mergeCell ref="C126:G127"/>
    <mergeCell ref="H126:V127"/>
    <mergeCell ref="W126:AK127"/>
    <mergeCell ref="C122:G123"/>
    <mergeCell ref="H122:V123"/>
    <mergeCell ref="W122:AK123"/>
    <mergeCell ref="C124:G124"/>
    <mergeCell ref="H124:V124"/>
    <mergeCell ref="W124:AK124"/>
    <mergeCell ref="B81:AK83"/>
    <mergeCell ref="B89:AK89"/>
    <mergeCell ref="B97:AK97"/>
    <mergeCell ref="V112:AK112"/>
    <mergeCell ref="V113:AK113"/>
    <mergeCell ref="B120:G120"/>
    <mergeCell ref="H120:V121"/>
    <mergeCell ref="W120:AK121"/>
    <mergeCell ref="B86:AK86"/>
    <mergeCell ref="B88:AK88"/>
  </mergeCells>
  <conditionalFormatting sqref="B23:AK29">
    <cfRule type="expression" dxfId="17" priority="1">
      <formula>OR($AQ$12=1,$AR$12=1)</formula>
    </cfRule>
  </conditionalFormatting>
  <conditionalFormatting sqref="C114">
    <cfRule type="expression" dxfId="16" priority="8">
      <formula>$AN$12&lt;&gt;1</formula>
    </cfRule>
  </conditionalFormatting>
  <conditionalFormatting sqref="C115">
    <cfRule type="expression" dxfId="15" priority="7">
      <formula>OR($AN$74&lt;&gt;2,$AN$75&lt;&gt;2)</formula>
    </cfRule>
  </conditionalFormatting>
  <conditionalFormatting sqref="C116">
    <cfRule type="expression" dxfId="14" priority="5">
      <formula>$AN$28&lt;&gt;1</formula>
    </cfRule>
  </conditionalFormatting>
  <conditionalFormatting sqref="C117">
    <cfRule type="expression" dxfId="13" priority="4">
      <formula>$AN$34&lt;&gt;1</formula>
    </cfRule>
  </conditionalFormatting>
  <conditionalFormatting sqref="C118">
    <cfRule type="expression" dxfId="12" priority="3">
      <formula>OR($AN$40&lt;&gt;3,$AN$44=FALSE)</formula>
    </cfRule>
  </conditionalFormatting>
  <conditionalFormatting sqref="P46">
    <cfRule type="cellIs" dxfId="11" priority="17" operator="equal">
      <formula>"choisir le type de travaux"</formula>
    </cfRule>
  </conditionalFormatting>
  <conditionalFormatting sqref="T21:AK21">
    <cfRule type="expression" dxfId="10" priority="18">
      <formula>$AN$24=2</formula>
    </cfRule>
  </conditionalFormatting>
  <conditionalFormatting sqref="AD12:AH12">
    <cfRule type="cellIs" dxfId="9" priority="15" operator="equal">
      <formula>"à renseigner"</formula>
    </cfRule>
  </conditionalFormatting>
  <dataValidations count="4">
    <dataValidation type="list" allowBlank="1" showInputMessage="1" showErrorMessage="1" sqref="M47:AK47" xr:uid="{00000000-0002-0000-0100-000000000000}">
      <formula1>$K$130:$K$142</formula1>
    </dataValidation>
    <dataValidation type="list" showInputMessage="1" showErrorMessage="1" sqref="Y40:AK40" xr:uid="{00000000-0002-0000-0100-000001000000}">
      <formula1>$U$148:$U$154</formula1>
    </dataValidation>
    <dataValidation type="list" showInputMessage="1" showErrorMessage="1" sqref="Y44:AK44" xr:uid="{00000000-0002-0000-0100-000002000000}">
      <formula1>$U$158:$U$165</formula1>
    </dataValidation>
    <dataValidation type="list" allowBlank="1" showInputMessage="1" showErrorMessage="1" sqref="M48:AK48" xr:uid="{00000000-0002-0000-0100-000003000000}">
      <formula1>IF($K$144=TRUE,(IF($AQ$14=TRUE,$U$129:$U$132,$U$134:$U$143)),$K$145:$K$146)</formula1>
    </dataValidation>
  </dataValidations>
  <printOptions horizontalCentered="1"/>
  <pageMargins left="0.23622047244094491" right="0.23622047244094491" top="0.74803149606299213" bottom="0.74803149606299213" header="0.31496062992125984" footer="0.31496062992125984"/>
  <pageSetup paperSize="9" scale="69"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247650</xdr:colOff>
                    <xdr:row>15</xdr:row>
                    <xdr:rowOff>9525</xdr:rowOff>
                  </from>
                  <to>
                    <xdr:col>11</xdr:col>
                    <xdr:colOff>57150</xdr:colOff>
                    <xdr:row>15</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23</xdr:col>
                    <xdr:colOff>9525</xdr:colOff>
                    <xdr:row>15</xdr:row>
                    <xdr:rowOff>19050</xdr:rowOff>
                  </from>
                  <to>
                    <xdr:col>23</xdr:col>
                    <xdr:colOff>238125</xdr:colOff>
                    <xdr:row>15</xdr:row>
                    <xdr:rowOff>238125</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0</xdr:col>
                    <xdr:colOff>123825</xdr:colOff>
                    <xdr:row>110</xdr:row>
                    <xdr:rowOff>0</xdr:rowOff>
                  </from>
                  <to>
                    <xdr:col>1</xdr:col>
                    <xdr:colOff>152400</xdr:colOff>
                    <xdr:row>111</xdr:row>
                    <xdr:rowOff>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0</xdr:col>
                    <xdr:colOff>123825</xdr:colOff>
                    <xdr:row>111</xdr:row>
                    <xdr:rowOff>190500</xdr:rowOff>
                  </from>
                  <to>
                    <xdr:col>1</xdr:col>
                    <xdr:colOff>142875</xdr:colOff>
                    <xdr:row>112</xdr:row>
                    <xdr:rowOff>200025</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0</xdr:col>
                    <xdr:colOff>123825</xdr:colOff>
                    <xdr:row>110</xdr:row>
                    <xdr:rowOff>200025</xdr:rowOff>
                  </from>
                  <to>
                    <xdr:col>1</xdr:col>
                    <xdr:colOff>142875</xdr:colOff>
                    <xdr:row>111</xdr:row>
                    <xdr:rowOff>190500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10</xdr:col>
                    <xdr:colOff>247650</xdr:colOff>
                    <xdr:row>16</xdr:row>
                    <xdr:rowOff>9525</xdr:rowOff>
                  </from>
                  <to>
                    <xdr:col>11</xdr:col>
                    <xdr:colOff>57150</xdr:colOff>
                    <xdr:row>16</xdr:row>
                    <xdr:rowOff>219075</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23</xdr:col>
                    <xdr:colOff>9525</xdr:colOff>
                    <xdr:row>16</xdr:row>
                    <xdr:rowOff>19050</xdr:rowOff>
                  </from>
                  <to>
                    <xdr:col>23</xdr:col>
                    <xdr:colOff>238125</xdr:colOff>
                    <xdr:row>16</xdr:row>
                    <xdr:rowOff>238125</xdr:rowOff>
                  </to>
                </anchor>
              </controlPr>
            </control>
          </mc:Choice>
        </mc:AlternateContent>
        <mc:AlternateContent xmlns:mc="http://schemas.openxmlformats.org/markup-compatibility/2006">
          <mc:Choice Requires="x14">
            <control shapeId="1070" r:id="rId11" name="Option Button 46">
              <controlPr locked="0" defaultSize="0" autoFill="0" autoLine="0" autoPict="0">
                <anchor moveWithCells="1">
                  <from>
                    <xdr:col>10</xdr:col>
                    <xdr:colOff>238125</xdr:colOff>
                    <xdr:row>11</xdr:row>
                    <xdr:rowOff>9525</xdr:rowOff>
                  </from>
                  <to>
                    <xdr:col>12</xdr:col>
                    <xdr:colOff>171450</xdr:colOff>
                    <xdr:row>12</xdr:row>
                    <xdr:rowOff>9525</xdr:rowOff>
                  </to>
                </anchor>
              </controlPr>
            </control>
          </mc:Choice>
        </mc:AlternateContent>
        <mc:AlternateContent xmlns:mc="http://schemas.openxmlformats.org/markup-compatibility/2006">
          <mc:Choice Requires="x14">
            <control shapeId="1071" r:id="rId12" name="Option Button 47">
              <controlPr locked="0" defaultSize="0" autoFill="0" autoLine="0" autoPict="0">
                <anchor moveWithCells="1">
                  <from>
                    <xdr:col>13</xdr:col>
                    <xdr:colOff>76200</xdr:colOff>
                    <xdr:row>11</xdr:row>
                    <xdr:rowOff>9525</xdr:rowOff>
                  </from>
                  <to>
                    <xdr:col>16</xdr:col>
                    <xdr:colOff>66675</xdr:colOff>
                    <xdr:row>12</xdr:row>
                    <xdr:rowOff>9525</xdr:rowOff>
                  </to>
                </anchor>
              </controlPr>
            </control>
          </mc:Choice>
        </mc:AlternateContent>
        <mc:AlternateContent xmlns:mc="http://schemas.openxmlformats.org/markup-compatibility/2006">
          <mc:Choice Requires="x14">
            <control shapeId="1072" r:id="rId13" name="Group Box 48">
              <controlPr defaultSize="0" autoFill="0" autoPict="0">
                <anchor moveWithCells="1">
                  <from>
                    <xdr:col>10</xdr:col>
                    <xdr:colOff>0</xdr:colOff>
                    <xdr:row>10</xdr:row>
                    <xdr:rowOff>133350</xdr:rowOff>
                  </from>
                  <to>
                    <xdr:col>17</xdr:col>
                    <xdr:colOff>19050</xdr:colOff>
                    <xdr:row>12</xdr:row>
                    <xdr:rowOff>19050</xdr:rowOff>
                  </to>
                </anchor>
              </controlPr>
            </control>
          </mc:Choice>
        </mc:AlternateContent>
        <mc:AlternateContent xmlns:mc="http://schemas.openxmlformats.org/markup-compatibility/2006">
          <mc:Choice Requires="x14">
            <control shapeId="1073" r:id="rId14" name="Option Button 49">
              <controlPr defaultSize="0" autoFill="0" autoLine="0" autoPict="0">
                <anchor moveWithCells="1">
                  <from>
                    <xdr:col>11</xdr:col>
                    <xdr:colOff>38100</xdr:colOff>
                    <xdr:row>20</xdr:row>
                    <xdr:rowOff>0</xdr:rowOff>
                  </from>
                  <to>
                    <xdr:col>12</xdr:col>
                    <xdr:colOff>38100</xdr:colOff>
                    <xdr:row>21</xdr:row>
                    <xdr:rowOff>0</xdr:rowOff>
                  </to>
                </anchor>
              </controlPr>
            </control>
          </mc:Choice>
        </mc:AlternateContent>
        <mc:AlternateContent xmlns:mc="http://schemas.openxmlformats.org/markup-compatibility/2006">
          <mc:Choice Requires="x14">
            <control shapeId="1075" r:id="rId15" name="Option Button 51">
              <controlPr defaultSize="0" autoFill="0" autoLine="0" autoPict="0">
                <anchor moveWithCells="1">
                  <from>
                    <xdr:col>15</xdr:col>
                    <xdr:colOff>28575</xdr:colOff>
                    <xdr:row>20</xdr:row>
                    <xdr:rowOff>0</xdr:rowOff>
                  </from>
                  <to>
                    <xdr:col>16</xdr:col>
                    <xdr:colOff>38100</xdr:colOff>
                    <xdr:row>21</xdr:row>
                    <xdr:rowOff>0</xdr:rowOff>
                  </to>
                </anchor>
              </controlPr>
            </control>
          </mc:Choice>
        </mc:AlternateContent>
        <mc:AlternateContent xmlns:mc="http://schemas.openxmlformats.org/markup-compatibility/2006">
          <mc:Choice Requires="x14">
            <control shapeId="1076" r:id="rId16" name="Group Box 52">
              <controlPr defaultSize="0" autoFill="0" autoPict="0">
                <anchor moveWithCells="1">
                  <from>
                    <xdr:col>11</xdr:col>
                    <xdr:colOff>28575</xdr:colOff>
                    <xdr:row>19</xdr:row>
                    <xdr:rowOff>190500</xdr:rowOff>
                  </from>
                  <to>
                    <xdr:col>17</xdr:col>
                    <xdr:colOff>190500</xdr:colOff>
                    <xdr:row>21</xdr:row>
                    <xdr:rowOff>19050</xdr:rowOff>
                  </to>
                </anchor>
              </controlPr>
            </control>
          </mc:Choice>
        </mc:AlternateContent>
        <mc:AlternateContent xmlns:mc="http://schemas.openxmlformats.org/markup-compatibility/2006">
          <mc:Choice Requires="x14">
            <control shapeId="1078" r:id="rId17" name="Option Button 54">
              <controlPr defaultSize="0" autoFill="0" autoLine="0" autoPict="0">
                <anchor moveWithCells="1">
                  <from>
                    <xdr:col>10</xdr:col>
                    <xdr:colOff>0</xdr:colOff>
                    <xdr:row>24</xdr:row>
                    <xdr:rowOff>0</xdr:rowOff>
                  </from>
                  <to>
                    <xdr:col>10</xdr:col>
                    <xdr:colOff>428625</xdr:colOff>
                    <xdr:row>25</xdr:row>
                    <xdr:rowOff>0</xdr:rowOff>
                  </to>
                </anchor>
              </controlPr>
            </control>
          </mc:Choice>
        </mc:AlternateContent>
        <mc:AlternateContent xmlns:mc="http://schemas.openxmlformats.org/markup-compatibility/2006">
          <mc:Choice Requires="x14">
            <control shapeId="1079" r:id="rId18" name="Option Button 55">
              <controlPr defaultSize="0" autoFill="0" autoLine="0" autoPict="0">
                <anchor moveWithCells="1">
                  <from>
                    <xdr:col>11</xdr:col>
                    <xdr:colOff>47625</xdr:colOff>
                    <xdr:row>24</xdr:row>
                    <xdr:rowOff>0</xdr:rowOff>
                  </from>
                  <to>
                    <xdr:col>13</xdr:col>
                    <xdr:colOff>76200</xdr:colOff>
                    <xdr:row>25</xdr:row>
                    <xdr:rowOff>0</xdr:rowOff>
                  </to>
                </anchor>
              </controlPr>
            </control>
          </mc:Choice>
        </mc:AlternateContent>
        <mc:AlternateContent xmlns:mc="http://schemas.openxmlformats.org/markup-compatibility/2006">
          <mc:Choice Requires="x14">
            <control shapeId="1080" r:id="rId19" name="Option Button 56">
              <controlPr defaultSize="0" autoFill="0" autoLine="0" autoPict="0">
                <anchor moveWithCells="1">
                  <from>
                    <xdr:col>18</xdr:col>
                    <xdr:colOff>9525</xdr:colOff>
                    <xdr:row>26</xdr:row>
                    <xdr:rowOff>47625</xdr:rowOff>
                  </from>
                  <to>
                    <xdr:col>19</xdr:col>
                    <xdr:colOff>238125</xdr:colOff>
                    <xdr:row>27</xdr:row>
                    <xdr:rowOff>114300</xdr:rowOff>
                  </to>
                </anchor>
              </controlPr>
            </control>
          </mc:Choice>
        </mc:AlternateContent>
        <mc:AlternateContent xmlns:mc="http://schemas.openxmlformats.org/markup-compatibility/2006">
          <mc:Choice Requires="x14">
            <control shapeId="1081" r:id="rId20" name="Option Button 57">
              <controlPr defaultSize="0" autoFill="0" autoLine="0" autoPict="0">
                <anchor moveWithCells="1">
                  <from>
                    <xdr:col>19</xdr:col>
                    <xdr:colOff>295275</xdr:colOff>
                    <xdr:row>26</xdr:row>
                    <xdr:rowOff>47625</xdr:rowOff>
                  </from>
                  <to>
                    <xdr:col>22</xdr:col>
                    <xdr:colOff>19050</xdr:colOff>
                    <xdr:row>27</xdr:row>
                    <xdr:rowOff>114300</xdr:rowOff>
                  </to>
                </anchor>
              </controlPr>
            </control>
          </mc:Choice>
        </mc:AlternateContent>
        <mc:AlternateContent xmlns:mc="http://schemas.openxmlformats.org/markup-compatibility/2006">
          <mc:Choice Requires="x14">
            <control shapeId="1082" r:id="rId21" name="Group Box 58">
              <controlPr defaultSize="0" autoFill="0" autoPict="0">
                <anchor moveWithCells="1">
                  <from>
                    <xdr:col>8</xdr:col>
                    <xdr:colOff>180975</xdr:colOff>
                    <xdr:row>23</xdr:row>
                    <xdr:rowOff>171450</xdr:rowOff>
                  </from>
                  <to>
                    <xdr:col>14</xdr:col>
                    <xdr:colOff>0</xdr:colOff>
                    <xdr:row>25</xdr:row>
                    <xdr:rowOff>0</xdr:rowOff>
                  </to>
                </anchor>
              </controlPr>
            </control>
          </mc:Choice>
        </mc:AlternateContent>
        <mc:AlternateContent xmlns:mc="http://schemas.openxmlformats.org/markup-compatibility/2006">
          <mc:Choice Requires="x14">
            <control shapeId="1083" r:id="rId22" name="Group Box 59">
              <controlPr defaultSize="0" autoFill="0" autoPict="0">
                <anchor moveWithCells="1">
                  <from>
                    <xdr:col>16</xdr:col>
                    <xdr:colOff>190500</xdr:colOff>
                    <xdr:row>26</xdr:row>
                    <xdr:rowOff>19050</xdr:rowOff>
                  </from>
                  <to>
                    <xdr:col>23</xdr:col>
                    <xdr:colOff>9525</xdr:colOff>
                    <xdr:row>27</xdr:row>
                    <xdr:rowOff>133350</xdr:rowOff>
                  </to>
                </anchor>
              </controlPr>
            </control>
          </mc:Choice>
        </mc:AlternateContent>
        <mc:AlternateContent xmlns:mc="http://schemas.openxmlformats.org/markup-compatibility/2006">
          <mc:Choice Requires="x14">
            <control shapeId="1094" r:id="rId23" name="Option Button 70">
              <controlPr defaultSize="0" autoFill="0" autoLine="0" autoPict="0">
                <anchor moveWithCells="1">
                  <from>
                    <xdr:col>7</xdr:col>
                    <xdr:colOff>28575</xdr:colOff>
                    <xdr:row>30</xdr:row>
                    <xdr:rowOff>0</xdr:rowOff>
                  </from>
                  <to>
                    <xdr:col>7</xdr:col>
                    <xdr:colOff>209550</xdr:colOff>
                    <xdr:row>30</xdr:row>
                    <xdr:rowOff>142875</xdr:rowOff>
                  </to>
                </anchor>
              </controlPr>
            </control>
          </mc:Choice>
        </mc:AlternateContent>
        <mc:AlternateContent xmlns:mc="http://schemas.openxmlformats.org/markup-compatibility/2006">
          <mc:Choice Requires="x14">
            <control shapeId="1095" r:id="rId24" name="Option Button 71">
              <controlPr defaultSize="0" autoFill="0" autoLine="0" autoPict="0">
                <anchor moveWithCells="1">
                  <from>
                    <xdr:col>7</xdr:col>
                    <xdr:colOff>28575</xdr:colOff>
                    <xdr:row>30</xdr:row>
                    <xdr:rowOff>171450</xdr:rowOff>
                  </from>
                  <to>
                    <xdr:col>7</xdr:col>
                    <xdr:colOff>209550</xdr:colOff>
                    <xdr:row>31</xdr:row>
                    <xdr:rowOff>133350</xdr:rowOff>
                  </to>
                </anchor>
              </controlPr>
            </control>
          </mc:Choice>
        </mc:AlternateContent>
        <mc:AlternateContent xmlns:mc="http://schemas.openxmlformats.org/markup-compatibility/2006">
          <mc:Choice Requires="x14">
            <control shapeId="1096" r:id="rId25" name="Option Button 72">
              <controlPr defaultSize="0" autoFill="0" autoLine="0" autoPict="0">
                <anchor moveWithCells="1">
                  <from>
                    <xdr:col>7</xdr:col>
                    <xdr:colOff>28575</xdr:colOff>
                    <xdr:row>31</xdr:row>
                    <xdr:rowOff>171450</xdr:rowOff>
                  </from>
                  <to>
                    <xdr:col>7</xdr:col>
                    <xdr:colOff>209550</xdr:colOff>
                    <xdr:row>32</xdr:row>
                    <xdr:rowOff>133350</xdr:rowOff>
                  </to>
                </anchor>
              </controlPr>
            </control>
          </mc:Choice>
        </mc:AlternateContent>
        <mc:AlternateContent xmlns:mc="http://schemas.openxmlformats.org/markup-compatibility/2006">
          <mc:Choice Requires="x14">
            <control shapeId="1097" r:id="rId26" name="Option Button 73">
              <controlPr defaultSize="0" autoFill="0" autoLine="0" autoPict="0">
                <anchor moveWithCells="1">
                  <from>
                    <xdr:col>7</xdr:col>
                    <xdr:colOff>28575</xdr:colOff>
                    <xdr:row>32</xdr:row>
                    <xdr:rowOff>171450</xdr:rowOff>
                  </from>
                  <to>
                    <xdr:col>7</xdr:col>
                    <xdr:colOff>209550</xdr:colOff>
                    <xdr:row>33</xdr:row>
                    <xdr:rowOff>133350</xdr:rowOff>
                  </to>
                </anchor>
              </controlPr>
            </control>
          </mc:Choice>
        </mc:AlternateContent>
        <mc:AlternateContent xmlns:mc="http://schemas.openxmlformats.org/markup-compatibility/2006">
          <mc:Choice Requires="x14">
            <control shapeId="1098" r:id="rId27" name="Option Button 74">
              <controlPr defaultSize="0" autoFill="0" autoLine="0" autoPict="0">
                <anchor moveWithCells="1">
                  <from>
                    <xdr:col>7</xdr:col>
                    <xdr:colOff>28575</xdr:colOff>
                    <xdr:row>33</xdr:row>
                    <xdr:rowOff>171450</xdr:rowOff>
                  </from>
                  <to>
                    <xdr:col>7</xdr:col>
                    <xdr:colOff>209550</xdr:colOff>
                    <xdr:row>34</xdr:row>
                    <xdr:rowOff>133350</xdr:rowOff>
                  </to>
                </anchor>
              </controlPr>
            </control>
          </mc:Choice>
        </mc:AlternateContent>
        <mc:AlternateContent xmlns:mc="http://schemas.openxmlformats.org/markup-compatibility/2006">
          <mc:Choice Requires="x14">
            <control shapeId="1117" r:id="rId28" name="Option Button 93">
              <controlPr defaultSize="0" autoFill="0" autoLine="0" autoPict="0">
                <anchor moveWithCells="1">
                  <from>
                    <xdr:col>7</xdr:col>
                    <xdr:colOff>28575</xdr:colOff>
                    <xdr:row>37</xdr:row>
                    <xdr:rowOff>28575</xdr:rowOff>
                  </from>
                  <to>
                    <xdr:col>7</xdr:col>
                    <xdr:colOff>209550</xdr:colOff>
                    <xdr:row>37</xdr:row>
                    <xdr:rowOff>171450</xdr:rowOff>
                  </to>
                </anchor>
              </controlPr>
            </control>
          </mc:Choice>
        </mc:AlternateContent>
        <mc:AlternateContent xmlns:mc="http://schemas.openxmlformats.org/markup-compatibility/2006">
          <mc:Choice Requires="x14">
            <control shapeId="1119" r:id="rId29" name="Option Button 95">
              <controlPr defaultSize="0" autoFill="0" autoLine="0" autoPict="0">
                <anchor moveWithCells="1">
                  <from>
                    <xdr:col>7</xdr:col>
                    <xdr:colOff>28575</xdr:colOff>
                    <xdr:row>38</xdr:row>
                    <xdr:rowOff>28575</xdr:rowOff>
                  </from>
                  <to>
                    <xdr:col>7</xdr:col>
                    <xdr:colOff>209550</xdr:colOff>
                    <xdr:row>38</xdr:row>
                    <xdr:rowOff>171450</xdr:rowOff>
                  </to>
                </anchor>
              </controlPr>
            </control>
          </mc:Choice>
        </mc:AlternateContent>
        <mc:AlternateContent xmlns:mc="http://schemas.openxmlformats.org/markup-compatibility/2006">
          <mc:Choice Requires="x14">
            <control shapeId="1121" r:id="rId30" name="Option Button 97">
              <controlPr defaultSize="0" autoFill="0" autoLine="0" autoPict="0">
                <anchor moveWithCells="1">
                  <from>
                    <xdr:col>7</xdr:col>
                    <xdr:colOff>28575</xdr:colOff>
                    <xdr:row>39</xdr:row>
                    <xdr:rowOff>19050</xdr:rowOff>
                  </from>
                  <to>
                    <xdr:col>7</xdr:col>
                    <xdr:colOff>209550</xdr:colOff>
                    <xdr:row>39</xdr:row>
                    <xdr:rowOff>171450</xdr:rowOff>
                  </to>
                </anchor>
              </controlPr>
            </control>
          </mc:Choice>
        </mc:AlternateContent>
        <mc:AlternateContent xmlns:mc="http://schemas.openxmlformats.org/markup-compatibility/2006">
          <mc:Choice Requires="x14">
            <control shapeId="1133" r:id="rId31" name="Option Button 109">
              <controlPr defaultSize="0" autoFill="0" autoLine="0" autoPict="0">
                <anchor moveWithCells="1">
                  <from>
                    <xdr:col>7</xdr:col>
                    <xdr:colOff>19050</xdr:colOff>
                    <xdr:row>40</xdr:row>
                    <xdr:rowOff>171450</xdr:rowOff>
                  </from>
                  <to>
                    <xdr:col>7</xdr:col>
                    <xdr:colOff>209550</xdr:colOff>
                    <xdr:row>42</xdr:row>
                    <xdr:rowOff>9525</xdr:rowOff>
                  </to>
                </anchor>
              </controlPr>
            </control>
          </mc:Choice>
        </mc:AlternateContent>
        <mc:AlternateContent xmlns:mc="http://schemas.openxmlformats.org/markup-compatibility/2006">
          <mc:Choice Requires="x14">
            <control shapeId="1134" r:id="rId32" name="Option Button 110">
              <controlPr defaultSize="0" autoFill="0" autoLine="0" autoPict="0">
                <anchor moveWithCells="1">
                  <from>
                    <xdr:col>7</xdr:col>
                    <xdr:colOff>19050</xdr:colOff>
                    <xdr:row>41</xdr:row>
                    <xdr:rowOff>161925</xdr:rowOff>
                  </from>
                  <to>
                    <xdr:col>7</xdr:col>
                    <xdr:colOff>209550</xdr:colOff>
                    <xdr:row>42</xdr:row>
                    <xdr:rowOff>180975</xdr:rowOff>
                  </to>
                </anchor>
              </controlPr>
            </control>
          </mc:Choice>
        </mc:AlternateContent>
        <mc:AlternateContent xmlns:mc="http://schemas.openxmlformats.org/markup-compatibility/2006">
          <mc:Choice Requires="x14">
            <control shapeId="1135" r:id="rId33" name="Group Box 111">
              <controlPr defaultSize="0" autoFill="0" autoPict="0">
                <anchor moveWithCells="1">
                  <from>
                    <xdr:col>6</xdr:col>
                    <xdr:colOff>190500</xdr:colOff>
                    <xdr:row>40</xdr:row>
                    <xdr:rowOff>152400</xdr:rowOff>
                  </from>
                  <to>
                    <xdr:col>8</xdr:col>
                    <xdr:colOff>0</xdr:colOff>
                    <xdr:row>43</xdr:row>
                    <xdr:rowOff>19050</xdr:rowOff>
                  </to>
                </anchor>
              </controlPr>
            </control>
          </mc:Choice>
        </mc:AlternateContent>
        <mc:AlternateContent xmlns:mc="http://schemas.openxmlformats.org/markup-compatibility/2006">
          <mc:Choice Requires="x14">
            <control shapeId="1138" r:id="rId34" name="Group Box 114">
              <controlPr defaultSize="0" autoFill="0" autoPict="0">
                <anchor moveWithCells="1">
                  <from>
                    <xdr:col>10</xdr:col>
                    <xdr:colOff>409575</xdr:colOff>
                    <xdr:row>41</xdr:row>
                    <xdr:rowOff>171450</xdr:rowOff>
                  </from>
                  <to>
                    <xdr:col>12</xdr:col>
                    <xdr:colOff>9525</xdr:colOff>
                    <xdr:row>44</xdr:row>
                    <xdr:rowOff>28575</xdr:rowOff>
                  </to>
                </anchor>
              </controlPr>
            </control>
          </mc:Choice>
        </mc:AlternateContent>
        <mc:AlternateContent xmlns:mc="http://schemas.openxmlformats.org/markup-compatibility/2006">
          <mc:Choice Requires="x14">
            <control shapeId="1150" r:id="rId35" name="Check Box 126">
              <controlPr defaultSize="0" autoFill="0" autoLine="0" autoPict="0">
                <anchor moveWithCells="1">
                  <from>
                    <xdr:col>0</xdr:col>
                    <xdr:colOff>123825</xdr:colOff>
                    <xdr:row>112</xdr:row>
                    <xdr:rowOff>180975</xdr:rowOff>
                  </from>
                  <to>
                    <xdr:col>1</xdr:col>
                    <xdr:colOff>142875</xdr:colOff>
                    <xdr:row>113</xdr:row>
                    <xdr:rowOff>200025</xdr:rowOff>
                  </to>
                </anchor>
              </controlPr>
            </control>
          </mc:Choice>
        </mc:AlternateContent>
        <mc:AlternateContent xmlns:mc="http://schemas.openxmlformats.org/markup-compatibility/2006">
          <mc:Choice Requires="x14">
            <control shapeId="1151" r:id="rId36" name="Check Box 127">
              <controlPr defaultSize="0" autoFill="0" autoLine="0" autoPict="0">
                <anchor moveWithCells="1">
                  <from>
                    <xdr:col>0</xdr:col>
                    <xdr:colOff>123825</xdr:colOff>
                    <xdr:row>113</xdr:row>
                    <xdr:rowOff>190500</xdr:rowOff>
                  </from>
                  <to>
                    <xdr:col>1</xdr:col>
                    <xdr:colOff>142875</xdr:colOff>
                    <xdr:row>114</xdr:row>
                    <xdr:rowOff>190500</xdr:rowOff>
                  </to>
                </anchor>
              </controlPr>
            </control>
          </mc:Choice>
        </mc:AlternateContent>
        <mc:AlternateContent xmlns:mc="http://schemas.openxmlformats.org/markup-compatibility/2006">
          <mc:Choice Requires="x14">
            <control shapeId="1152" r:id="rId37" name="Option Button 128">
              <controlPr defaultSize="0" autoFill="0" autoLine="0" autoPict="0">
                <anchor moveWithCells="1">
                  <from>
                    <xdr:col>17</xdr:col>
                    <xdr:colOff>28575</xdr:colOff>
                    <xdr:row>73</xdr:row>
                    <xdr:rowOff>38100</xdr:rowOff>
                  </from>
                  <to>
                    <xdr:col>19</xdr:col>
                    <xdr:colOff>57150</xdr:colOff>
                    <xdr:row>73</xdr:row>
                    <xdr:rowOff>257175</xdr:rowOff>
                  </to>
                </anchor>
              </controlPr>
            </control>
          </mc:Choice>
        </mc:AlternateContent>
        <mc:AlternateContent xmlns:mc="http://schemas.openxmlformats.org/markup-compatibility/2006">
          <mc:Choice Requires="x14">
            <control shapeId="1153" r:id="rId38" name="Option Button 129">
              <controlPr defaultSize="0" autoFill="0" autoLine="0" autoPict="0">
                <anchor moveWithCells="1">
                  <from>
                    <xdr:col>19</xdr:col>
                    <xdr:colOff>152400</xdr:colOff>
                    <xdr:row>73</xdr:row>
                    <xdr:rowOff>38100</xdr:rowOff>
                  </from>
                  <to>
                    <xdr:col>21</xdr:col>
                    <xdr:colOff>85725</xdr:colOff>
                    <xdr:row>73</xdr:row>
                    <xdr:rowOff>257175</xdr:rowOff>
                  </to>
                </anchor>
              </controlPr>
            </control>
          </mc:Choice>
        </mc:AlternateContent>
        <mc:AlternateContent xmlns:mc="http://schemas.openxmlformats.org/markup-compatibility/2006">
          <mc:Choice Requires="x14">
            <control shapeId="1154" r:id="rId39" name="Group Box 130">
              <controlPr defaultSize="0" autoFill="0" autoPict="0">
                <anchor moveWithCells="1">
                  <from>
                    <xdr:col>17</xdr:col>
                    <xdr:colOff>9525</xdr:colOff>
                    <xdr:row>73</xdr:row>
                    <xdr:rowOff>0</xdr:rowOff>
                  </from>
                  <to>
                    <xdr:col>21</xdr:col>
                    <xdr:colOff>190500</xdr:colOff>
                    <xdr:row>73</xdr:row>
                    <xdr:rowOff>266700</xdr:rowOff>
                  </to>
                </anchor>
              </controlPr>
            </control>
          </mc:Choice>
        </mc:AlternateContent>
        <mc:AlternateContent xmlns:mc="http://schemas.openxmlformats.org/markup-compatibility/2006">
          <mc:Choice Requires="x14">
            <control shapeId="1155" r:id="rId40" name="Option Button 131">
              <controlPr defaultSize="0" autoFill="0" autoLine="0" autoPict="0">
                <anchor moveWithCells="1">
                  <from>
                    <xdr:col>17</xdr:col>
                    <xdr:colOff>28575</xdr:colOff>
                    <xdr:row>74</xdr:row>
                    <xdr:rowOff>38100</xdr:rowOff>
                  </from>
                  <to>
                    <xdr:col>19</xdr:col>
                    <xdr:colOff>57150</xdr:colOff>
                    <xdr:row>74</xdr:row>
                    <xdr:rowOff>257175</xdr:rowOff>
                  </to>
                </anchor>
              </controlPr>
            </control>
          </mc:Choice>
        </mc:AlternateContent>
        <mc:AlternateContent xmlns:mc="http://schemas.openxmlformats.org/markup-compatibility/2006">
          <mc:Choice Requires="x14">
            <control shapeId="1156" r:id="rId41" name="Option Button 132">
              <controlPr defaultSize="0" autoFill="0" autoLine="0" autoPict="0">
                <anchor moveWithCells="1">
                  <from>
                    <xdr:col>19</xdr:col>
                    <xdr:colOff>152400</xdr:colOff>
                    <xdr:row>74</xdr:row>
                    <xdr:rowOff>38100</xdr:rowOff>
                  </from>
                  <to>
                    <xdr:col>21</xdr:col>
                    <xdr:colOff>85725</xdr:colOff>
                    <xdr:row>74</xdr:row>
                    <xdr:rowOff>257175</xdr:rowOff>
                  </to>
                </anchor>
              </controlPr>
            </control>
          </mc:Choice>
        </mc:AlternateContent>
        <mc:AlternateContent xmlns:mc="http://schemas.openxmlformats.org/markup-compatibility/2006">
          <mc:Choice Requires="x14">
            <control shapeId="1157" r:id="rId42" name="Group Box 133">
              <controlPr defaultSize="0" autoFill="0" autoPict="0">
                <anchor moveWithCells="1">
                  <from>
                    <xdr:col>17</xdr:col>
                    <xdr:colOff>9525</xdr:colOff>
                    <xdr:row>74</xdr:row>
                    <xdr:rowOff>19050</xdr:rowOff>
                  </from>
                  <to>
                    <xdr:col>21</xdr:col>
                    <xdr:colOff>190500</xdr:colOff>
                    <xdr:row>75</xdr:row>
                    <xdr:rowOff>0</xdr:rowOff>
                  </to>
                </anchor>
              </controlPr>
            </control>
          </mc:Choice>
        </mc:AlternateContent>
        <mc:AlternateContent xmlns:mc="http://schemas.openxmlformats.org/markup-compatibility/2006">
          <mc:Choice Requires="x14">
            <control shapeId="1158" r:id="rId43" name="Option Button 134">
              <controlPr defaultSize="0" autoFill="0" autoLine="0" autoPict="0">
                <anchor moveWithCells="1">
                  <from>
                    <xdr:col>17</xdr:col>
                    <xdr:colOff>28575</xdr:colOff>
                    <xdr:row>75</xdr:row>
                    <xdr:rowOff>38100</xdr:rowOff>
                  </from>
                  <to>
                    <xdr:col>19</xdr:col>
                    <xdr:colOff>76200</xdr:colOff>
                    <xdr:row>76</xdr:row>
                    <xdr:rowOff>38100</xdr:rowOff>
                  </to>
                </anchor>
              </controlPr>
            </control>
          </mc:Choice>
        </mc:AlternateContent>
        <mc:AlternateContent xmlns:mc="http://schemas.openxmlformats.org/markup-compatibility/2006">
          <mc:Choice Requires="x14">
            <control shapeId="1159" r:id="rId44" name="Option Button 135">
              <controlPr defaultSize="0" autoFill="0" autoLine="0" autoPict="0">
                <anchor moveWithCells="1">
                  <from>
                    <xdr:col>19</xdr:col>
                    <xdr:colOff>152400</xdr:colOff>
                    <xdr:row>75</xdr:row>
                    <xdr:rowOff>38100</xdr:rowOff>
                  </from>
                  <to>
                    <xdr:col>21</xdr:col>
                    <xdr:colOff>104775</xdr:colOff>
                    <xdr:row>76</xdr:row>
                    <xdr:rowOff>38100</xdr:rowOff>
                  </to>
                </anchor>
              </controlPr>
            </control>
          </mc:Choice>
        </mc:AlternateContent>
        <mc:AlternateContent xmlns:mc="http://schemas.openxmlformats.org/markup-compatibility/2006">
          <mc:Choice Requires="x14">
            <control shapeId="1160" r:id="rId45" name="Group Box 136">
              <controlPr defaultSize="0" autoFill="0" autoPict="0">
                <anchor moveWithCells="1">
                  <from>
                    <xdr:col>17</xdr:col>
                    <xdr:colOff>0</xdr:colOff>
                    <xdr:row>75</xdr:row>
                    <xdr:rowOff>38100</xdr:rowOff>
                  </from>
                  <to>
                    <xdr:col>22</xdr:col>
                    <xdr:colOff>0</xdr:colOff>
                    <xdr:row>76</xdr:row>
                    <xdr:rowOff>66675</xdr:rowOff>
                  </to>
                </anchor>
              </controlPr>
            </control>
          </mc:Choice>
        </mc:AlternateContent>
        <mc:AlternateContent xmlns:mc="http://schemas.openxmlformats.org/markup-compatibility/2006">
          <mc:Choice Requires="x14">
            <control shapeId="1161" r:id="rId46" name="Option Button 137">
              <controlPr defaultSize="0" autoFill="0" autoLine="0" autoPict="0">
                <anchor moveWithCells="1">
                  <from>
                    <xdr:col>17</xdr:col>
                    <xdr:colOff>28575</xdr:colOff>
                    <xdr:row>76</xdr:row>
                    <xdr:rowOff>95250</xdr:rowOff>
                  </from>
                  <to>
                    <xdr:col>19</xdr:col>
                    <xdr:colOff>66675</xdr:colOff>
                    <xdr:row>77</xdr:row>
                    <xdr:rowOff>152400</xdr:rowOff>
                  </to>
                </anchor>
              </controlPr>
            </control>
          </mc:Choice>
        </mc:AlternateContent>
        <mc:AlternateContent xmlns:mc="http://schemas.openxmlformats.org/markup-compatibility/2006">
          <mc:Choice Requires="x14">
            <control shapeId="1162" r:id="rId47" name="Option Button 138">
              <controlPr defaultSize="0" autoFill="0" autoLine="0" autoPict="0">
                <anchor moveWithCells="1">
                  <from>
                    <xdr:col>19</xdr:col>
                    <xdr:colOff>152400</xdr:colOff>
                    <xdr:row>76</xdr:row>
                    <xdr:rowOff>95250</xdr:rowOff>
                  </from>
                  <to>
                    <xdr:col>21</xdr:col>
                    <xdr:colOff>95250</xdr:colOff>
                    <xdr:row>77</xdr:row>
                    <xdr:rowOff>152400</xdr:rowOff>
                  </to>
                </anchor>
              </controlPr>
            </control>
          </mc:Choice>
        </mc:AlternateContent>
        <mc:AlternateContent xmlns:mc="http://schemas.openxmlformats.org/markup-compatibility/2006">
          <mc:Choice Requires="x14">
            <control shapeId="1163" r:id="rId48" name="Group Box 139">
              <controlPr defaultSize="0" autoFill="0" autoPict="0">
                <anchor moveWithCells="1">
                  <from>
                    <xdr:col>17</xdr:col>
                    <xdr:colOff>0</xdr:colOff>
                    <xdr:row>76</xdr:row>
                    <xdr:rowOff>19050</xdr:rowOff>
                  </from>
                  <to>
                    <xdr:col>22</xdr:col>
                    <xdr:colOff>0</xdr:colOff>
                    <xdr:row>78</xdr:row>
                    <xdr:rowOff>19050</xdr:rowOff>
                  </to>
                </anchor>
              </controlPr>
            </control>
          </mc:Choice>
        </mc:AlternateContent>
        <mc:AlternateContent xmlns:mc="http://schemas.openxmlformats.org/markup-compatibility/2006">
          <mc:Choice Requires="x14">
            <control shapeId="1164" r:id="rId49" name="Check Box 140">
              <controlPr defaultSize="0" autoFill="0" autoLine="0" autoPict="0">
                <anchor moveWithCells="1">
                  <from>
                    <xdr:col>0</xdr:col>
                    <xdr:colOff>123825</xdr:colOff>
                    <xdr:row>114</xdr:row>
                    <xdr:rowOff>171450</xdr:rowOff>
                  </from>
                  <to>
                    <xdr:col>1</xdr:col>
                    <xdr:colOff>142875</xdr:colOff>
                    <xdr:row>115</xdr:row>
                    <xdr:rowOff>180975</xdr:rowOff>
                  </to>
                </anchor>
              </controlPr>
            </control>
          </mc:Choice>
        </mc:AlternateContent>
        <mc:AlternateContent xmlns:mc="http://schemas.openxmlformats.org/markup-compatibility/2006">
          <mc:Choice Requires="x14">
            <control shapeId="1166" r:id="rId50" name="Check Box 142">
              <controlPr defaultSize="0" autoFill="0" autoLine="0" autoPict="0">
                <anchor moveWithCells="1">
                  <from>
                    <xdr:col>0</xdr:col>
                    <xdr:colOff>123825</xdr:colOff>
                    <xdr:row>115</xdr:row>
                    <xdr:rowOff>161925</xdr:rowOff>
                  </from>
                  <to>
                    <xdr:col>1</xdr:col>
                    <xdr:colOff>142875</xdr:colOff>
                    <xdr:row>116</xdr:row>
                    <xdr:rowOff>171450</xdr:rowOff>
                  </to>
                </anchor>
              </controlPr>
            </control>
          </mc:Choice>
        </mc:AlternateContent>
        <mc:AlternateContent xmlns:mc="http://schemas.openxmlformats.org/markup-compatibility/2006">
          <mc:Choice Requires="x14">
            <control shapeId="1168" r:id="rId51" name="Check Box 144">
              <controlPr defaultSize="0" autoFill="0" autoLine="0" autoPict="0">
                <anchor moveWithCells="1">
                  <from>
                    <xdr:col>10</xdr:col>
                    <xdr:colOff>419100</xdr:colOff>
                    <xdr:row>41</xdr:row>
                    <xdr:rowOff>190500</xdr:rowOff>
                  </from>
                  <to>
                    <xdr:col>12</xdr:col>
                    <xdr:colOff>0</xdr:colOff>
                    <xdr:row>43</xdr:row>
                    <xdr:rowOff>28575</xdr:rowOff>
                  </to>
                </anchor>
              </controlPr>
            </control>
          </mc:Choice>
        </mc:AlternateContent>
        <mc:AlternateContent xmlns:mc="http://schemas.openxmlformats.org/markup-compatibility/2006">
          <mc:Choice Requires="x14">
            <control shapeId="1169" r:id="rId52" name="Check Box 145">
              <controlPr defaultSize="0" autoFill="0" autoLine="0" autoPict="0">
                <anchor moveWithCells="1">
                  <from>
                    <xdr:col>10</xdr:col>
                    <xdr:colOff>419100</xdr:colOff>
                    <xdr:row>42</xdr:row>
                    <xdr:rowOff>180975</xdr:rowOff>
                  </from>
                  <to>
                    <xdr:col>12</xdr:col>
                    <xdr:colOff>0</xdr:colOff>
                    <xdr:row>44</xdr:row>
                    <xdr:rowOff>19050</xdr:rowOff>
                  </to>
                </anchor>
              </controlPr>
            </control>
          </mc:Choice>
        </mc:AlternateContent>
        <mc:AlternateContent xmlns:mc="http://schemas.openxmlformats.org/markup-compatibility/2006">
          <mc:Choice Requires="x14">
            <control shapeId="1171" r:id="rId53" name="Check Box 147">
              <controlPr defaultSize="0" autoFill="0" autoLine="0" autoPict="0">
                <anchor moveWithCells="1">
                  <from>
                    <xdr:col>0</xdr:col>
                    <xdr:colOff>123825</xdr:colOff>
                    <xdr:row>116</xdr:row>
                    <xdr:rowOff>142875</xdr:rowOff>
                  </from>
                  <to>
                    <xdr:col>1</xdr:col>
                    <xdr:colOff>142875</xdr:colOff>
                    <xdr:row>117</xdr:row>
                    <xdr:rowOff>142875</xdr:rowOff>
                  </to>
                </anchor>
              </controlPr>
            </control>
          </mc:Choice>
        </mc:AlternateContent>
        <mc:AlternateContent xmlns:mc="http://schemas.openxmlformats.org/markup-compatibility/2006">
          <mc:Choice Requires="x14">
            <control shapeId="1210" r:id="rId54" name="Group Box 186">
              <controlPr defaultSize="0" autoFill="0" autoPict="0">
                <anchor moveWithCells="1">
                  <from>
                    <xdr:col>6</xdr:col>
                    <xdr:colOff>200025</xdr:colOff>
                    <xdr:row>29</xdr:row>
                    <xdr:rowOff>161925</xdr:rowOff>
                  </from>
                  <to>
                    <xdr:col>8</xdr:col>
                    <xdr:colOff>19050</xdr:colOff>
                    <xdr:row>35</xdr:row>
                    <xdr:rowOff>19050</xdr:rowOff>
                  </to>
                </anchor>
              </controlPr>
            </control>
          </mc:Choice>
        </mc:AlternateContent>
        <mc:AlternateContent xmlns:mc="http://schemas.openxmlformats.org/markup-compatibility/2006">
          <mc:Choice Requires="x14">
            <control shapeId="1211" r:id="rId55" name="Group Box 187">
              <controlPr defaultSize="0" autoFill="0" autoPict="0">
                <anchor moveWithCells="1">
                  <from>
                    <xdr:col>6</xdr:col>
                    <xdr:colOff>171450</xdr:colOff>
                    <xdr:row>36</xdr:row>
                    <xdr:rowOff>180975</xdr:rowOff>
                  </from>
                  <to>
                    <xdr:col>8</xdr:col>
                    <xdr:colOff>19050</xdr:colOff>
                    <xdr:row>40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1E978-DAB7-447E-B4E1-ADC5D6EAE4B7}">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72" customWidth="1"/>
    <col min="2" max="2" width="11.42578125" style="72" customWidth="1"/>
    <col min="3" max="3" width="10.7109375" style="72" customWidth="1"/>
    <col min="4" max="4" width="5.140625" style="72" customWidth="1"/>
    <col min="5" max="5" width="5.140625" style="73" customWidth="1"/>
    <col min="6" max="6" width="3.28515625" style="73" customWidth="1"/>
    <col min="7" max="8" width="4.85546875" style="73" customWidth="1"/>
    <col min="9" max="19" width="11.42578125" style="73" customWidth="1"/>
    <col min="20" max="20" width="13.85546875" style="73" customWidth="1"/>
    <col min="21" max="24" width="0" style="72" hidden="1" customWidth="1"/>
    <col min="25" max="16384" width="11.42578125" style="72" hidden="1"/>
  </cols>
  <sheetData>
    <row r="1" spans="2:20" ht="21" x14ac:dyDescent="0.35"/>
    <row r="2" spans="2:20" ht="18.75" customHeight="1" x14ac:dyDescent="0.3">
      <c r="E2" s="138" t="s">
        <v>201</v>
      </c>
      <c r="F2" s="138"/>
      <c r="G2" s="138"/>
      <c r="H2" s="138"/>
      <c r="I2" s="138"/>
      <c r="J2" s="138"/>
      <c r="K2" s="138"/>
      <c r="L2" s="138"/>
      <c r="M2" s="138"/>
      <c r="N2" s="138"/>
      <c r="O2" s="138"/>
      <c r="P2" s="138"/>
      <c r="Q2" s="138"/>
      <c r="R2" s="138"/>
      <c r="S2" s="138"/>
      <c r="T2" s="74"/>
    </row>
    <row r="3" spans="2:20" ht="18.75" customHeight="1" x14ac:dyDescent="0.3">
      <c r="E3" s="138"/>
      <c r="F3" s="138"/>
      <c r="G3" s="138"/>
      <c r="H3" s="138"/>
      <c r="I3" s="138"/>
      <c r="J3" s="138"/>
      <c r="K3" s="138"/>
      <c r="L3" s="138"/>
      <c r="M3" s="138"/>
      <c r="N3" s="138"/>
      <c r="O3" s="138"/>
      <c r="P3" s="138"/>
      <c r="Q3" s="138"/>
      <c r="R3" s="138"/>
      <c r="S3" s="138"/>
      <c r="T3" s="74"/>
    </row>
    <row r="4" spans="2:20" ht="18.75" customHeight="1" x14ac:dyDescent="0.3">
      <c r="E4" s="138"/>
      <c r="F4" s="138"/>
      <c r="G4" s="138"/>
      <c r="H4" s="138"/>
      <c r="I4" s="138"/>
      <c r="J4" s="138"/>
      <c r="K4" s="138"/>
      <c r="L4" s="138"/>
      <c r="M4" s="138"/>
      <c r="N4" s="138"/>
      <c r="O4" s="138"/>
      <c r="P4" s="138"/>
      <c r="Q4" s="138"/>
      <c r="R4" s="138"/>
      <c r="S4" s="138"/>
      <c r="T4" s="74"/>
    </row>
    <row r="5" spans="2:20" ht="21.75" thickBot="1" x14ac:dyDescent="0.4">
      <c r="B5" s="75"/>
      <c r="C5" s="75"/>
      <c r="D5" s="75"/>
      <c r="E5" s="76"/>
      <c r="F5" s="76"/>
      <c r="G5" s="76"/>
      <c r="H5" s="76"/>
      <c r="I5" s="76"/>
      <c r="J5" s="76"/>
      <c r="K5" s="76"/>
      <c r="L5" s="76"/>
      <c r="M5" s="76"/>
      <c r="N5" s="76"/>
      <c r="O5" s="93" t="s">
        <v>366</v>
      </c>
      <c r="P5" s="139" t="s">
        <v>367</v>
      </c>
      <c r="Q5" s="139"/>
      <c r="R5" s="139"/>
      <c r="S5" s="139"/>
    </row>
    <row r="6" spans="2:20" ht="21" x14ac:dyDescent="0.35"/>
    <row r="7" spans="2:20" ht="21" x14ac:dyDescent="0.35">
      <c r="B7" s="140" t="s">
        <v>202</v>
      </c>
      <c r="C7" s="141"/>
      <c r="E7" s="77" t="s">
        <v>203</v>
      </c>
    </row>
    <row r="8" spans="2:20" ht="21" x14ac:dyDescent="0.35">
      <c r="B8" s="142"/>
      <c r="C8" s="143"/>
      <c r="E8" s="78" t="s">
        <v>204</v>
      </c>
    </row>
    <row r="9" spans="2:20" ht="6" customHeight="1" x14ac:dyDescent="0.35">
      <c r="B9" s="142"/>
      <c r="C9" s="143"/>
      <c r="E9" s="78"/>
    </row>
    <row r="10" spans="2:20" ht="18.75" customHeight="1" x14ac:dyDescent="0.35">
      <c r="B10" s="142"/>
      <c r="C10" s="143"/>
      <c r="E10" s="79" t="s">
        <v>179</v>
      </c>
      <c r="F10" s="109" t="s">
        <v>205</v>
      </c>
      <c r="G10" s="109"/>
      <c r="H10" s="109"/>
      <c r="I10" s="109"/>
      <c r="J10" s="109"/>
      <c r="K10" s="109"/>
      <c r="L10" s="109"/>
      <c r="M10" s="109"/>
      <c r="N10" s="109"/>
      <c r="O10" s="109"/>
      <c r="P10" s="109"/>
      <c r="Q10" s="109"/>
      <c r="R10" s="109"/>
      <c r="S10" s="109"/>
      <c r="T10" s="80"/>
    </row>
    <row r="11" spans="2:20" ht="18.75" customHeight="1" x14ac:dyDescent="0.35">
      <c r="B11" s="142"/>
      <c r="C11" s="143"/>
      <c r="E11" s="79"/>
      <c r="F11" s="109"/>
      <c r="G11" s="109"/>
      <c r="H11" s="109"/>
      <c r="I11" s="109"/>
      <c r="J11" s="109"/>
      <c r="K11" s="109"/>
      <c r="L11" s="109"/>
      <c r="M11" s="109"/>
      <c r="N11" s="109"/>
      <c r="O11" s="109"/>
      <c r="P11" s="109"/>
      <c r="Q11" s="109"/>
      <c r="R11" s="109"/>
      <c r="S11" s="109"/>
      <c r="T11" s="80"/>
    </row>
    <row r="12" spans="2:20" ht="18.75" customHeight="1" x14ac:dyDescent="0.35">
      <c r="B12" s="142"/>
      <c r="C12" s="143"/>
      <c r="E12" s="79"/>
      <c r="F12" s="109"/>
      <c r="G12" s="109"/>
      <c r="H12" s="109"/>
      <c r="I12" s="109"/>
      <c r="J12" s="109"/>
      <c r="K12" s="109"/>
      <c r="L12" s="109"/>
      <c r="M12" s="109"/>
      <c r="N12" s="109"/>
      <c r="O12" s="109"/>
      <c r="P12" s="109"/>
      <c r="Q12" s="109"/>
      <c r="R12" s="109"/>
      <c r="S12" s="109"/>
      <c r="T12" s="80"/>
    </row>
    <row r="13" spans="2:20" ht="21" x14ac:dyDescent="0.3">
      <c r="B13" s="142"/>
      <c r="C13" s="143"/>
      <c r="E13" s="81"/>
      <c r="F13" s="109"/>
      <c r="G13" s="109"/>
      <c r="H13" s="109"/>
      <c r="I13" s="109"/>
      <c r="J13" s="109"/>
      <c r="K13" s="109"/>
      <c r="L13" s="109"/>
      <c r="M13" s="109"/>
      <c r="N13" s="109"/>
      <c r="O13" s="109"/>
      <c r="P13" s="109"/>
      <c r="Q13" s="109"/>
      <c r="R13" s="109"/>
      <c r="S13" s="109"/>
      <c r="T13" s="80"/>
    </row>
    <row r="14" spans="2:20" ht="5.25" customHeight="1" x14ac:dyDescent="0.3">
      <c r="B14" s="142"/>
      <c r="C14" s="143"/>
      <c r="E14" s="81"/>
      <c r="F14" s="82"/>
      <c r="G14" s="82"/>
      <c r="H14" s="82"/>
      <c r="I14" s="82"/>
      <c r="J14" s="82"/>
      <c r="K14" s="82"/>
      <c r="L14" s="82"/>
      <c r="M14" s="82"/>
      <c r="N14" s="82"/>
      <c r="O14" s="82"/>
      <c r="P14" s="82"/>
      <c r="Q14" s="82"/>
      <c r="R14" s="82"/>
      <c r="S14" s="82"/>
      <c r="T14" s="82"/>
    </row>
    <row r="15" spans="2:20" ht="18.75" customHeight="1" x14ac:dyDescent="0.35">
      <c r="B15" s="142"/>
      <c r="C15" s="143"/>
      <c r="E15" s="79" t="s">
        <v>181</v>
      </c>
      <c r="F15" s="109" t="s">
        <v>206</v>
      </c>
      <c r="G15" s="109"/>
      <c r="H15" s="109"/>
      <c r="I15" s="109"/>
      <c r="J15" s="109"/>
      <c r="K15" s="109"/>
      <c r="L15" s="109"/>
      <c r="M15" s="109"/>
      <c r="N15" s="109"/>
      <c r="O15" s="109"/>
      <c r="P15" s="109"/>
      <c r="Q15" s="109"/>
      <c r="R15" s="109"/>
      <c r="S15" s="109"/>
      <c r="T15" s="80"/>
    </row>
    <row r="16" spans="2:20" ht="18.75" customHeight="1" x14ac:dyDescent="0.35">
      <c r="B16" s="142"/>
      <c r="C16" s="143"/>
      <c r="E16" s="79"/>
      <c r="F16" s="109"/>
      <c r="G16" s="109"/>
      <c r="H16" s="109"/>
      <c r="I16" s="109"/>
      <c r="J16" s="109"/>
      <c r="K16" s="109"/>
      <c r="L16" s="109"/>
      <c r="M16" s="109"/>
      <c r="N16" s="109"/>
      <c r="O16" s="109"/>
      <c r="P16" s="109"/>
      <c r="Q16" s="109"/>
      <c r="R16" s="109"/>
      <c r="S16" s="109"/>
      <c r="T16" s="80"/>
    </row>
    <row r="17" spans="2:20" ht="21" x14ac:dyDescent="0.3">
      <c r="B17" s="144"/>
      <c r="C17" s="145"/>
      <c r="E17" s="81"/>
      <c r="F17" s="109"/>
      <c r="G17" s="109"/>
      <c r="H17" s="109"/>
      <c r="I17" s="109"/>
      <c r="J17" s="109"/>
      <c r="K17" s="109"/>
      <c r="L17" s="109"/>
      <c r="M17" s="109"/>
      <c r="N17" s="109"/>
      <c r="O17" s="109"/>
      <c r="P17" s="109"/>
      <c r="Q17" s="109"/>
      <c r="R17" s="109"/>
      <c r="S17" s="109"/>
      <c r="T17" s="80"/>
    </row>
    <row r="18" spans="2:20" ht="21" x14ac:dyDescent="0.35"/>
    <row r="19" spans="2:20" ht="21" x14ac:dyDescent="0.35">
      <c r="B19" s="116"/>
      <c r="C19" s="117"/>
      <c r="E19" s="77" t="s">
        <v>207</v>
      </c>
    </row>
    <row r="20" spans="2:20" ht="21" x14ac:dyDescent="0.35">
      <c r="B20" s="118"/>
      <c r="C20" s="119"/>
      <c r="E20" s="78" t="s">
        <v>204</v>
      </c>
    </row>
    <row r="21" spans="2:20" ht="4.5" customHeight="1" x14ac:dyDescent="0.35">
      <c r="B21" s="118"/>
      <c r="C21" s="119"/>
      <c r="E21" s="78"/>
    </row>
    <row r="22" spans="2:20" ht="18.75" customHeight="1" x14ac:dyDescent="0.35">
      <c r="B22" s="118"/>
      <c r="C22" s="119"/>
      <c r="F22" s="109" t="s">
        <v>208</v>
      </c>
      <c r="G22" s="109"/>
      <c r="H22" s="109"/>
      <c r="I22" s="109"/>
      <c r="J22" s="109"/>
      <c r="K22" s="109"/>
      <c r="L22" s="109"/>
      <c r="M22" s="109"/>
      <c r="N22" s="109"/>
      <c r="O22" s="109"/>
      <c r="P22" s="109"/>
      <c r="Q22" s="109"/>
      <c r="R22" s="109"/>
      <c r="S22" s="109"/>
      <c r="T22" s="80"/>
    </row>
    <row r="23" spans="2:20" ht="21" x14ac:dyDescent="0.3">
      <c r="B23" s="118"/>
      <c r="C23" s="119"/>
      <c r="E23" s="80"/>
      <c r="F23" s="109"/>
      <c r="G23" s="109"/>
      <c r="H23" s="109"/>
      <c r="I23" s="109"/>
      <c r="J23" s="109"/>
      <c r="K23" s="109"/>
      <c r="L23" s="109"/>
      <c r="M23" s="109"/>
      <c r="N23" s="109"/>
      <c r="O23" s="109"/>
      <c r="P23" s="109"/>
      <c r="Q23" s="109"/>
      <c r="R23" s="109"/>
      <c r="S23" s="109"/>
      <c r="T23" s="80"/>
    </row>
    <row r="24" spans="2:20" ht="21" x14ac:dyDescent="0.3">
      <c r="B24" s="118"/>
      <c r="C24" s="119"/>
      <c r="E24" s="80"/>
      <c r="F24" s="109"/>
      <c r="G24" s="109"/>
      <c r="H24" s="109"/>
      <c r="I24" s="109"/>
      <c r="J24" s="109"/>
      <c r="K24" s="109"/>
      <c r="L24" s="109"/>
      <c r="M24" s="109"/>
      <c r="N24" s="109"/>
      <c r="O24" s="109"/>
      <c r="P24" s="109"/>
      <c r="Q24" s="109"/>
      <c r="R24" s="109"/>
      <c r="S24" s="109"/>
      <c r="T24" s="80"/>
    </row>
    <row r="25" spans="2:20" ht="21" x14ac:dyDescent="0.3">
      <c r="B25" s="118"/>
      <c r="C25" s="119"/>
      <c r="E25" s="80"/>
      <c r="F25" s="109"/>
      <c r="G25" s="109"/>
      <c r="H25" s="109"/>
      <c r="I25" s="109"/>
      <c r="J25" s="109"/>
      <c r="K25" s="109"/>
      <c r="L25" s="109"/>
      <c r="M25" s="109"/>
      <c r="N25" s="109"/>
      <c r="O25" s="109"/>
      <c r="P25" s="109"/>
      <c r="Q25" s="109"/>
      <c r="R25" s="109"/>
      <c r="S25" s="109"/>
      <c r="T25" s="80"/>
    </row>
    <row r="26" spans="2:20" ht="21" x14ac:dyDescent="0.3">
      <c r="B26" s="118"/>
      <c r="C26" s="119"/>
      <c r="E26" s="80"/>
      <c r="F26" s="109"/>
      <c r="G26" s="109"/>
      <c r="H26" s="109"/>
      <c r="I26" s="109"/>
      <c r="J26" s="109"/>
      <c r="K26" s="109"/>
      <c r="L26" s="109"/>
      <c r="M26" s="109"/>
      <c r="N26" s="109"/>
      <c r="O26" s="109"/>
      <c r="P26" s="109"/>
      <c r="Q26" s="109"/>
      <c r="R26" s="109"/>
      <c r="S26" s="109"/>
      <c r="T26" s="80"/>
    </row>
    <row r="27" spans="2:20" ht="21" x14ac:dyDescent="0.3">
      <c r="B27" s="118"/>
      <c r="C27" s="119"/>
      <c r="E27" s="80"/>
      <c r="F27" s="109"/>
      <c r="G27" s="109"/>
      <c r="H27" s="109"/>
      <c r="I27" s="109"/>
      <c r="J27" s="109"/>
      <c r="K27" s="109"/>
      <c r="L27" s="109"/>
      <c r="M27" s="109"/>
      <c r="N27" s="109"/>
      <c r="O27" s="109"/>
      <c r="P27" s="109"/>
      <c r="Q27" s="109"/>
      <c r="R27" s="109"/>
      <c r="S27" s="109"/>
      <c r="T27" s="80"/>
    </row>
    <row r="28" spans="2:20" ht="21" x14ac:dyDescent="0.3">
      <c r="B28" s="118"/>
      <c r="C28" s="119"/>
      <c r="E28" s="80"/>
      <c r="F28" s="109"/>
      <c r="G28" s="109"/>
      <c r="H28" s="109"/>
      <c r="I28" s="109"/>
      <c r="J28" s="109"/>
      <c r="K28" s="109"/>
      <c r="L28" s="109"/>
      <c r="M28" s="109"/>
      <c r="N28" s="109"/>
      <c r="O28" s="109"/>
      <c r="P28" s="109"/>
      <c r="Q28" s="109"/>
      <c r="R28" s="109"/>
      <c r="S28" s="109"/>
      <c r="T28" s="80"/>
    </row>
    <row r="29" spans="2:20" ht="21" x14ac:dyDescent="0.3">
      <c r="B29" s="120"/>
      <c r="C29" s="121"/>
      <c r="E29" s="80"/>
      <c r="F29" s="109"/>
      <c r="G29" s="109"/>
      <c r="H29" s="109"/>
      <c r="I29" s="109"/>
      <c r="J29" s="109"/>
      <c r="K29" s="109"/>
      <c r="L29" s="109"/>
      <c r="M29" s="109"/>
      <c r="N29" s="109"/>
      <c r="O29" s="109"/>
      <c r="P29" s="109"/>
      <c r="Q29" s="109"/>
      <c r="R29" s="109"/>
      <c r="S29" s="109"/>
      <c r="T29" s="80"/>
    </row>
    <row r="30" spans="2:20" ht="21" x14ac:dyDescent="0.3">
      <c r="E30" s="82"/>
      <c r="F30" s="82"/>
      <c r="G30" s="82"/>
      <c r="H30" s="82"/>
      <c r="I30" s="82"/>
      <c r="J30" s="82"/>
      <c r="K30" s="82"/>
      <c r="L30" s="82"/>
      <c r="M30" s="82"/>
      <c r="N30" s="82"/>
      <c r="O30" s="82"/>
      <c r="P30" s="82"/>
      <c r="Q30" s="82"/>
      <c r="R30" s="82"/>
      <c r="S30" s="82"/>
      <c r="T30" s="82"/>
    </row>
    <row r="31" spans="2:20" ht="21" x14ac:dyDescent="0.35">
      <c r="B31" s="116"/>
      <c r="C31" s="117"/>
      <c r="E31" s="77" t="s">
        <v>209</v>
      </c>
    </row>
    <row r="32" spans="2:20" ht="5.25" customHeight="1" x14ac:dyDescent="0.35">
      <c r="B32" s="118"/>
      <c r="C32" s="119"/>
      <c r="E32" s="77"/>
    </row>
    <row r="33" spans="2:20" ht="21" x14ac:dyDescent="0.35">
      <c r="B33" s="118"/>
      <c r="C33" s="119"/>
      <c r="E33" s="79" t="s">
        <v>179</v>
      </c>
      <c r="F33" s="73" t="s">
        <v>368</v>
      </c>
    </row>
    <row r="34" spans="2:20" ht="5.25" customHeight="1" x14ac:dyDescent="0.35">
      <c r="B34" s="118"/>
      <c r="C34" s="119"/>
      <c r="E34" s="79"/>
    </row>
    <row r="35" spans="2:20" ht="21" x14ac:dyDescent="0.35">
      <c r="B35" s="118"/>
      <c r="C35" s="119"/>
      <c r="E35" s="79" t="s">
        <v>181</v>
      </c>
      <c r="F35" s="73" t="s">
        <v>369</v>
      </c>
    </row>
    <row r="36" spans="2:20" ht="6" customHeight="1" x14ac:dyDescent="0.35">
      <c r="B36" s="118"/>
      <c r="C36" s="119"/>
      <c r="E36" s="79"/>
    </row>
    <row r="37" spans="2:20" ht="21" customHeight="1" x14ac:dyDescent="0.35">
      <c r="B37" s="118"/>
      <c r="C37" s="119"/>
      <c r="E37" s="79" t="s">
        <v>186</v>
      </c>
      <c r="F37" s="109" t="s">
        <v>210</v>
      </c>
      <c r="G37" s="109"/>
      <c r="H37" s="109"/>
      <c r="I37" s="109"/>
      <c r="J37" s="109"/>
      <c r="K37" s="109"/>
      <c r="L37" s="109"/>
      <c r="M37" s="109"/>
      <c r="N37" s="109"/>
      <c r="O37" s="109"/>
      <c r="P37" s="109"/>
      <c r="Q37" s="109"/>
      <c r="R37" s="109"/>
      <c r="S37" s="109"/>
      <c r="T37" s="80"/>
    </row>
    <row r="38" spans="2:20" ht="21" x14ac:dyDescent="0.35">
      <c r="B38" s="120"/>
      <c r="C38" s="121"/>
      <c r="E38" s="83"/>
      <c r="F38" s="109"/>
      <c r="G38" s="109"/>
      <c r="H38" s="109"/>
      <c r="I38" s="109"/>
      <c r="J38" s="109"/>
      <c r="K38" s="109"/>
      <c r="L38" s="109"/>
      <c r="M38" s="109"/>
      <c r="N38" s="109"/>
      <c r="O38" s="109"/>
      <c r="P38" s="109"/>
      <c r="Q38" s="109"/>
      <c r="R38" s="109"/>
      <c r="S38" s="109"/>
      <c r="T38" s="80"/>
    </row>
    <row r="39" spans="2:20" ht="21" x14ac:dyDescent="0.35">
      <c r="F39" s="109"/>
      <c r="G39" s="109"/>
      <c r="H39" s="109"/>
      <c r="I39" s="109"/>
      <c r="J39" s="109"/>
      <c r="K39" s="109"/>
      <c r="L39" s="109"/>
      <c r="M39" s="109"/>
      <c r="N39" s="109"/>
      <c r="O39" s="109"/>
      <c r="P39" s="109"/>
      <c r="Q39" s="109"/>
      <c r="R39" s="109"/>
      <c r="S39" s="109"/>
    </row>
    <row r="40" spans="2:20" ht="21" x14ac:dyDescent="0.35">
      <c r="B40" s="116"/>
      <c r="C40" s="117"/>
      <c r="E40" s="77" t="s">
        <v>211</v>
      </c>
      <c r="F40" s="77"/>
    </row>
    <row r="41" spans="2:20" ht="21" x14ac:dyDescent="0.35">
      <c r="B41" s="118"/>
      <c r="C41" s="119"/>
    </row>
    <row r="42" spans="2:20" ht="21" x14ac:dyDescent="0.35">
      <c r="B42" s="118"/>
      <c r="C42" s="119"/>
      <c r="E42" s="122"/>
      <c r="F42" s="123"/>
      <c r="G42" s="124"/>
      <c r="I42" s="73" t="s">
        <v>212</v>
      </c>
    </row>
    <row r="43" spans="2:20" ht="21" x14ac:dyDescent="0.35">
      <c r="B43" s="118"/>
      <c r="C43" s="119"/>
    </row>
    <row r="44" spans="2:20" ht="21" x14ac:dyDescent="0.35">
      <c r="B44" s="118"/>
      <c r="C44" s="119"/>
      <c r="G44" s="84"/>
      <c r="I44" s="73" t="s">
        <v>213</v>
      </c>
    </row>
    <row r="45" spans="2:20" ht="21" x14ac:dyDescent="0.35">
      <c r="B45" s="118"/>
      <c r="C45" s="119"/>
    </row>
    <row r="46" spans="2:20" ht="21" x14ac:dyDescent="0.35">
      <c r="B46" s="118"/>
      <c r="C46" s="119"/>
      <c r="G46" s="84"/>
      <c r="I46" s="73" t="s">
        <v>214</v>
      </c>
    </row>
    <row r="47" spans="2:20" ht="21" x14ac:dyDescent="0.35">
      <c r="B47" s="118"/>
      <c r="C47" s="119"/>
    </row>
    <row r="48" spans="2:20" ht="21" x14ac:dyDescent="0.35">
      <c r="B48" s="118"/>
      <c r="C48" s="119"/>
      <c r="E48" s="84"/>
      <c r="F48" s="85" t="s">
        <v>215</v>
      </c>
      <c r="I48" s="109" t="s">
        <v>216</v>
      </c>
      <c r="J48" s="109"/>
      <c r="K48" s="109"/>
      <c r="L48" s="109"/>
      <c r="M48" s="109"/>
      <c r="N48" s="109"/>
      <c r="O48" s="109"/>
      <c r="P48" s="109"/>
      <c r="Q48" s="109"/>
      <c r="R48" s="109"/>
      <c r="S48" s="109"/>
    </row>
    <row r="49" spans="2:19" ht="21" x14ac:dyDescent="0.35">
      <c r="B49" s="118"/>
      <c r="C49" s="119"/>
      <c r="F49" s="85"/>
      <c r="I49" s="109"/>
      <c r="J49" s="109"/>
      <c r="K49" s="109"/>
      <c r="L49" s="109"/>
      <c r="M49" s="109"/>
      <c r="N49" s="109"/>
      <c r="O49" s="109"/>
      <c r="P49" s="109"/>
      <c r="Q49" s="109"/>
      <c r="R49" s="109"/>
      <c r="S49" s="109"/>
    </row>
    <row r="50" spans="2:19" ht="21" x14ac:dyDescent="0.35">
      <c r="B50" s="118"/>
      <c r="C50" s="119"/>
    </row>
    <row r="51" spans="2:19" ht="21" x14ac:dyDescent="0.35">
      <c r="B51" s="118"/>
      <c r="C51" s="119"/>
      <c r="E51" s="125"/>
      <c r="F51" s="126"/>
      <c r="G51" s="127"/>
      <c r="I51" s="109" t="s">
        <v>217</v>
      </c>
      <c r="J51" s="109"/>
      <c r="K51" s="109"/>
      <c r="L51" s="109"/>
      <c r="M51" s="109"/>
      <c r="N51" s="109"/>
      <c r="O51" s="109"/>
      <c r="P51" s="109"/>
      <c r="Q51" s="109"/>
      <c r="R51" s="109"/>
      <c r="S51" s="109"/>
    </row>
    <row r="52" spans="2:19" ht="21" x14ac:dyDescent="0.35">
      <c r="B52" s="118"/>
      <c r="C52" s="119"/>
      <c r="E52" s="86"/>
      <c r="F52" s="86"/>
      <c r="G52" s="86"/>
      <c r="I52" s="109"/>
      <c r="J52" s="109"/>
      <c r="K52" s="109"/>
      <c r="L52" s="109"/>
      <c r="M52" s="109"/>
      <c r="N52" s="109"/>
      <c r="O52" s="109"/>
      <c r="P52" s="109"/>
      <c r="Q52" s="109"/>
      <c r="R52" s="109"/>
      <c r="S52" s="109"/>
    </row>
    <row r="53" spans="2:19" ht="21" x14ac:dyDescent="0.35">
      <c r="B53" s="118"/>
      <c r="C53" s="119"/>
    </row>
    <row r="54" spans="2:19" ht="21" customHeight="1" x14ac:dyDescent="0.35">
      <c r="B54" s="118"/>
      <c r="C54" s="119"/>
      <c r="F54" s="128"/>
      <c r="G54" s="129"/>
      <c r="I54" s="109" t="s">
        <v>218</v>
      </c>
      <c r="J54" s="109"/>
      <c r="K54" s="109"/>
      <c r="L54" s="109"/>
      <c r="M54" s="109"/>
      <c r="N54" s="109"/>
      <c r="O54" s="109"/>
      <c r="P54" s="109"/>
      <c r="Q54" s="109"/>
      <c r="R54" s="109"/>
      <c r="S54" s="109"/>
    </row>
    <row r="55" spans="2:19" ht="21" x14ac:dyDescent="0.35">
      <c r="B55" s="118"/>
      <c r="C55" s="119"/>
      <c r="F55" s="130"/>
      <c r="G55" s="131"/>
      <c r="I55" s="109"/>
      <c r="J55" s="109"/>
      <c r="K55" s="109"/>
      <c r="L55" s="109"/>
      <c r="M55" s="109"/>
      <c r="N55" s="109"/>
      <c r="O55" s="109"/>
      <c r="P55" s="109"/>
      <c r="Q55" s="109"/>
      <c r="R55" s="109"/>
      <c r="S55" s="109"/>
    </row>
    <row r="56" spans="2:19" ht="21" x14ac:dyDescent="0.35">
      <c r="B56" s="118"/>
      <c r="C56" s="119"/>
      <c r="F56" s="86"/>
      <c r="G56" s="86"/>
      <c r="I56" s="109"/>
      <c r="J56" s="109"/>
      <c r="K56" s="109"/>
      <c r="L56" s="109"/>
      <c r="M56" s="109"/>
      <c r="N56" s="109"/>
      <c r="O56" s="109"/>
      <c r="P56" s="109"/>
      <c r="Q56" s="109"/>
      <c r="R56" s="109"/>
      <c r="S56" s="109"/>
    </row>
    <row r="57" spans="2:19" ht="21" x14ac:dyDescent="0.35">
      <c r="B57" s="118"/>
      <c r="C57" s="119"/>
    </row>
    <row r="58" spans="2:19" ht="21" customHeight="1" x14ac:dyDescent="0.35">
      <c r="B58" s="118"/>
      <c r="C58" s="119"/>
      <c r="E58" s="132" t="s">
        <v>219</v>
      </c>
      <c r="F58" s="133"/>
      <c r="G58" s="134"/>
      <c r="I58" s="109" t="s">
        <v>220</v>
      </c>
      <c r="J58" s="109"/>
      <c r="K58" s="109"/>
      <c r="L58" s="109"/>
      <c r="M58" s="109"/>
      <c r="N58" s="109"/>
      <c r="O58" s="109"/>
      <c r="P58" s="109"/>
      <c r="Q58" s="109"/>
      <c r="R58" s="109"/>
      <c r="S58" s="109"/>
    </row>
    <row r="59" spans="2:19" ht="21" x14ac:dyDescent="0.35">
      <c r="B59" s="118"/>
      <c r="C59" s="119"/>
      <c r="E59" s="135"/>
      <c r="F59" s="136"/>
      <c r="G59" s="137"/>
      <c r="I59" s="109"/>
      <c r="J59" s="109"/>
      <c r="K59" s="109"/>
      <c r="L59" s="109"/>
      <c r="M59" s="109"/>
      <c r="N59" s="109"/>
      <c r="O59" s="109"/>
      <c r="P59" s="109"/>
      <c r="Q59" s="109"/>
      <c r="R59" s="109"/>
      <c r="S59" s="109"/>
    </row>
    <row r="60" spans="2:19" ht="21" x14ac:dyDescent="0.35">
      <c r="B60" s="118"/>
      <c r="C60" s="119"/>
      <c r="E60" s="77"/>
      <c r="F60" s="77"/>
      <c r="G60" s="77"/>
    </row>
    <row r="61" spans="2:19" ht="21" customHeight="1" x14ac:dyDescent="0.35">
      <c r="B61" s="118"/>
      <c r="C61" s="119"/>
      <c r="E61" s="103" t="s">
        <v>215</v>
      </c>
      <c r="F61" s="104"/>
      <c r="G61" s="105"/>
      <c r="I61" s="109" t="s">
        <v>221</v>
      </c>
      <c r="J61" s="109"/>
      <c r="K61" s="109"/>
      <c r="L61" s="109"/>
      <c r="M61" s="109"/>
      <c r="N61" s="109"/>
      <c r="O61" s="109"/>
      <c r="P61" s="109"/>
      <c r="Q61" s="109"/>
      <c r="R61" s="109"/>
      <c r="S61" s="109"/>
    </row>
    <row r="62" spans="2:19" ht="21" x14ac:dyDescent="0.35">
      <c r="B62" s="118"/>
      <c r="C62" s="119"/>
      <c r="E62" s="106"/>
      <c r="F62" s="107"/>
      <c r="G62" s="108"/>
      <c r="I62" s="109"/>
      <c r="J62" s="109"/>
      <c r="K62" s="109"/>
      <c r="L62" s="109"/>
      <c r="M62" s="109"/>
      <c r="N62" s="109"/>
      <c r="O62" s="109"/>
      <c r="P62" s="109"/>
      <c r="Q62" s="109"/>
      <c r="R62" s="109"/>
      <c r="S62" s="109"/>
    </row>
    <row r="63" spans="2:19" ht="21" x14ac:dyDescent="0.35">
      <c r="B63" s="118"/>
      <c r="C63" s="119"/>
      <c r="E63" s="77"/>
      <c r="F63" s="77"/>
      <c r="G63" s="77"/>
    </row>
    <row r="64" spans="2:19" ht="21" x14ac:dyDescent="0.35">
      <c r="B64" s="118"/>
      <c r="C64" s="119"/>
      <c r="E64" s="110" t="s">
        <v>215</v>
      </c>
      <c r="F64" s="111"/>
      <c r="G64" s="112"/>
      <c r="I64" s="87" t="s">
        <v>222</v>
      </c>
    </row>
    <row r="65" spans="2:9" ht="21" x14ac:dyDescent="0.35">
      <c r="B65" s="120"/>
      <c r="C65" s="121"/>
      <c r="E65" s="113"/>
      <c r="F65" s="114"/>
      <c r="G65" s="115"/>
      <c r="I65" s="8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7C38B8D8-D8E4-4409-BA27-BA3F11EC7FC7}"/>
    <hyperlink ref="B7:C17" r:id="rId2" display="https://www.vs.ch/web/energie/exigences-énergétiques-pour-les-bâtiments" xr:uid="{91B45B1D-13DB-4361-B5BD-BB84CB88F7E4}"/>
    <hyperlink ref="P5" r:id="rId3" xr:uid="{E7B47F32-C453-4262-8DC1-1A71DBD4E86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1265"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11266"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11267"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411"/>
  <sheetViews>
    <sheetView tabSelected="1" zoomScale="115" zoomScaleNormal="115" workbookViewId="0">
      <selection activeCell="B99" sqref="B99:AK109"/>
    </sheetView>
  </sheetViews>
  <sheetFormatPr baseColWidth="10" defaultColWidth="0" defaultRowHeight="13.15" customHeight="1" zeroHeight="1" x14ac:dyDescent="0.25"/>
  <cols>
    <col min="1" max="3" width="3" style="9" customWidth="1"/>
    <col min="4" max="4" width="4.28515625" style="9" customWidth="1"/>
    <col min="5" max="10" width="3" style="9" customWidth="1"/>
    <col min="11" max="11" width="6.5703125" style="9" customWidth="1"/>
    <col min="12" max="19" width="3" style="9" customWidth="1"/>
    <col min="20" max="20" width="4.42578125" style="9" customWidth="1"/>
    <col min="21" max="23" width="3" style="9" customWidth="1"/>
    <col min="24" max="24" width="3.85546875" style="9" customWidth="1"/>
    <col min="25" max="25" width="4.7109375" style="9" customWidth="1"/>
    <col min="26" max="36" width="3" style="9" customWidth="1"/>
    <col min="37" max="37" width="4.28515625" style="9" customWidth="1"/>
    <col min="38" max="38" width="3" style="9" customWidth="1"/>
    <col min="39" max="39" width="3.42578125" style="33" hidden="1" customWidth="1"/>
    <col min="40" max="40" width="11.28515625" style="33" hidden="1" customWidth="1"/>
    <col min="41" max="42" width="3.42578125" style="33" hidden="1" customWidth="1"/>
    <col min="43" max="43" width="6.5703125" style="33" hidden="1" customWidth="1"/>
    <col min="44" max="44" width="7.140625" style="33" hidden="1" customWidth="1"/>
    <col min="45" max="45" width="4.5703125" style="33" hidden="1" customWidth="1"/>
    <col min="46" max="55" width="3.42578125" style="33" hidden="1" customWidth="1"/>
    <col min="56" max="56" width="24.7109375" style="33" hidden="1" customWidth="1"/>
    <col min="57" max="57" width="6.140625" style="33" hidden="1" customWidth="1"/>
    <col min="58" max="58" width="4.7109375" style="33" hidden="1" customWidth="1"/>
    <col min="59" max="59" width="3.85546875" style="33" hidden="1" customWidth="1"/>
    <col min="60" max="60" width="11.85546875" style="33" hidden="1" customWidth="1"/>
    <col min="61" max="61" width="6.7109375" style="33" hidden="1" customWidth="1"/>
    <col min="62" max="66" width="3.42578125" style="33" hidden="1" customWidth="1"/>
    <col min="67" max="68" width="5.7109375" style="33" hidden="1" customWidth="1"/>
    <col min="69" max="71" width="3.42578125" style="33" hidden="1" customWidth="1"/>
    <col min="72" max="72" width="5.85546875" style="33" hidden="1" customWidth="1"/>
    <col min="73" max="73" width="10.140625" style="33" hidden="1" customWidth="1"/>
    <col min="74" max="74" width="11.140625" style="33" hidden="1" customWidth="1"/>
    <col min="75" max="75" width="8" style="33" hidden="1" customWidth="1"/>
    <col min="76" max="77" width="7.7109375" style="33" hidden="1" customWidth="1"/>
    <col min="78" max="78" width="5.85546875" style="33" hidden="1" customWidth="1"/>
    <col min="79" max="79" width="7" style="33" hidden="1" customWidth="1"/>
    <col min="80" max="80" width="3.42578125" style="33" hidden="1" customWidth="1"/>
    <col min="81" max="82" width="5.85546875" style="57" hidden="1" customWidth="1"/>
    <col min="83" max="83" width="5.85546875" style="33" hidden="1" customWidth="1"/>
    <col min="84" max="84" width="4.5703125" style="33" hidden="1" customWidth="1"/>
    <col min="85" max="85" width="3.42578125" style="33" hidden="1" customWidth="1"/>
    <col min="86" max="86" width="5.85546875" style="33" hidden="1" customWidth="1"/>
    <col min="87" max="16384" width="3.42578125" style="33" hidden="1"/>
  </cols>
  <sheetData>
    <row r="1" spans="1:82" ht="21.9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82" ht="17.45" customHeight="1" x14ac:dyDescent="0.25">
      <c r="A2" s="4"/>
      <c r="B2" s="173"/>
      <c r="C2" s="174"/>
      <c r="D2" s="174"/>
      <c r="E2" s="174"/>
      <c r="F2" s="175"/>
      <c r="G2" s="182" t="s">
        <v>223</v>
      </c>
      <c r="H2" s="183"/>
      <c r="I2" s="183"/>
      <c r="J2" s="183"/>
      <c r="K2" s="183"/>
      <c r="L2" s="183"/>
      <c r="M2" s="183"/>
      <c r="N2" s="183"/>
      <c r="O2" s="184"/>
      <c r="P2" s="191" t="s">
        <v>1</v>
      </c>
      <c r="Q2" s="192"/>
      <c r="R2" s="192"/>
      <c r="S2" s="192"/>
      <c r="T2" s="192"/>
      <c r="U2" s="192"/>
      <c r="V2" s="192"/>
      <c r="W2" s="192"/>
      <c r="X2" s="193"/>
      <c r="Y2" s="200" t="s">
        <v>224</v>
      </c>
      <c r="Z2" s="201"/>
      <c r="AA2" s="201"/>
      <c r="AB2" s="201"/>
      <c r="AC2" s="201"/>
      <c r="AD2" s="201"/>
      <c r="AE2" s="201"/>
      <c r="AF2" s="201"/>
      <c r="AG2" s="201"/>
      <c r="AH2" s="201"/>
      <c r="AI2" s="201"/>
      <c r="AJ2" s="201"/>
      <c r="AK2" s="202"/>
      <c r="AL2" s="4"/>
      <c r="BH2" s="102" t="s">
        <v>2</v>
      </c>
      <c r="BI2" s="102" t="s">
        <v>3</v>
      </c>
      <c r="BU2" s="33" t="s">
        <v>125</v>
      </c>
    </row>
    <row r="3" spans="1:82" ht="17.45" customHeight="1" x14ac:dyDescent="0.25">
      <c r="A3" s="4"/>
      <c r="B3" s="176"/>
      <c r="C3" s="177"/>
      <c r="D3" s="177"/>
      <c r="E3" s="177"/>
      <c r="F3" s="178"/>
      <c r="G3" s="185"/>
      <c r="H3" s="186"/>
      <c r="I3" s="186"/>
      <c r="J3" s="186"/>
      <c r="K3" s="186"/>
      <c r="L3" s="186"/>
      <c r="M3" s="186"/>
      <c r="N3" s="186"/>
      <c r="O3" s="187"/>
      <c r="P3" s="194"/>
      <c r="Q3" s="195"/>
      <c r="R3" s="195"/>
      <c r="S3" s="195"/>
      <c r="T3" s="195"/>
      <c r="U3" s="195"/>
      <c r="V3" s="195"/>
      <c r="W3" s="195"/>
      <c r="X3" s="196"/>
      <c r="Y3" s="203"/>
      <c r="Z3" s="204"/>
      <c r="AA3" s="204"/>
      <c r="AB3" s="204"/>
      <c r="AC3" s="204"/>
      <c r="AD3" s="204"/>
      <c r="AE3" s="204"/>
      <c r="AF3" s="204"/>
      <c r="AG3" s="204"/>
      <c r="AH3" s="204"/>
      <c r="AI3" s="204"/>
      <c r="AJ3" s="204"/>
      <c r="AK3" s="205"/>
      <c r="AL3" s="4"/>
      <c r="BC3" s="43" t="str">
        <f>BD3&amp;BE3&amp;BF3&amp;BG3</f>
        <v>I = Wohnen MFHtpneussa</v>
      </c>
      <c r="BD3" s="43" t="s">
        <v>270</v>
      </c>
      <c r="BE3" s="56" t="s">
        <v>5</v>
      </c>
      <c r="BF3" s="33" t="s">
        <v>312</v>
      </c>
      <c r="BG3" s="33" t="s">
        <v>7</v>
      </c>
      <c r="BH3" s="33">
        <v>0.17</v>
      </c>
      <c r="BI3" s="33">
        <v>0.25</v>
      </c>
    </row>
    <row r="4" spans="1:82" ht="17.45" customHeight="1" x14ac:dyDescent="0.25">
      <c r="A4" s="4"/>
      <c r="B4" s="176"/>
      <c r="C4" s="177"/>
      <c r="D4" s="177"/>
      <c r="E4" s="177"/>
      <c r="F4" s="178"/>
      <c r="G4" s="185"/>
      <c r="H4" s="186"/>
      <c r="I4" s="186"/>
      <c r="J4" s="186"/>
      <c r="K4" s="186"/>
      <c r="L4" s="186"/>
      <c r="M4" s="186"/>
      <c r="N4" s="186"/>
      <c r="O4" s="187"/>
      <c r="P4" s="194"/>
      <c r="Q4" s="195"/>
      <c r="R4" s="195"/>
      <c r="S4" s="195"/>
      <c r="T4" s="195"/>
      <c r="U4" s="195"/>
      <c r="V4" s="195"/>
      <c r="W4" s="195"/>
      <c r="X4" s="196"/>
      <c r="Y4" s="203"/>
      <c r="Z4" s="204"/>
      <c r="AA4" s="204"/>
      <c r="AB4" s="204"/>
      <c r="AC4" s="204"/>
      <c r="AD4" s="204"/>
      <c r="AE4" s="204"/>
      <c r="AF4" s="204"/>
      <c r="AG4" s="204"/>
      <c r="AH4" s="204"/>
      <c r="AI4" s="204"/>
      <c r="AJ4" s="204"/>
      <c r="AK4" s="205"/>
      <c r="AL4" s="4"/>
      <c r="BC4" s="43" t="str">
        <f>BD4&amp;BE4&amp;BF4&amp;BG4</f>
        <v>I = Wohnen MFHmneussa</v>
      </c>
      <c r="BD4" s="43" t="s">
        <v>270</v>
      </c>
      <c r="BE4" s="56" t="s">
        <v>8</v>
      </c>
      <c r="BF4" s="33" t="s">
        <v>312</v>
      </c>
      <c r="BG4" s="33" t="s">
        <v>7</v>
      </c>
      <c r="BH4" s="33">
        <v>0.17</v>
      </c>
      <c r="BI4" s="33">
        <v>0.25</v>
      </c>
    </row>
    <row r="5" spans="1:82" ht="17.45" customHeight="1" x14ac:dyDescent="0.25">
      <c r="A5" s="4"/>
      <c r="B5" s="179"/>
      <c r="C5" s="180"/>
      <c r="D5" s="180"/>
      <c r="E5" s="180"/>
      <c r="F5" s="181"/>
      <c r="G5" s="188"/>
      <c r="H5" s="189"/>
      <c r="I5" s="189"/>
      <c r="J5" s="189"/>
      <c r="K5" s="189"/>
      <c r="L5" s="189"/>
      <c r="M5" s="189"/>
      <c r="N5" s="189"/>
      <c r="O5" s="190"/>
      <c r="P5" s="197"/>
      <c r="Q5" s="198"/>
      <c r="R5" s="198"/>
      <c r="S5" s="198"/>
      <c r="T5" s="198"/>
      <c r="U5" s="198"/>
      <c r="V5" s="198"/>
      <c r="W5" s="198"/>
      <c r="X5" s="199"/>
      <c r="Y5" s="206"/>
      <c r="Z5" s="207"/>
      <c r="AA5" s="207"/>
      <c r="AB5" s="207"/>
      <c r="AC5" s="207"/>
      <c r="AD5" s="207"/>
      <c r="AE5" s="207"/>
      <c r="AF5" s="207"/>
      <c r="AG5" s="207"/>
      <c r="AH5" s="207"/>
      <c r="AI5" s="207"/>
      <c r="AJ5" s="207"/>
      <c r="AK5" s="208"/>
      <c r="AL5" s="4"/>
      <c r="AQ5" s="33" t="s">
        <v>9</v>
      </c>
      <c r="AR5" s="33" t="s">
        <v>10</v>
      </c>
      <c r="BC5" s="43" t="str">
        <f>BD5&amp;BE5&amp;BF5&amp;BG5</f>
        <v>I = Wohnen MFHsneussa</v>
      </c>
      <c r="BD5" s="43" t="s">
        <v>270</v>
      </c>
      <c r="BE5" s="56" t="s">
        <v>11</v>
      </c>
      <c r="BF5" s="33" t="s">
        <v>312</v>
      </c>
      <c r="BG5" s="33" t="s">
        <v>7</v>
      </c>
      <c r="BH5" s="33">
        <v>0.17</v>
      </c>
      <c r="BI5" s="33">
        <v>0.25</v>
      </c>
    </row>
    <row r="6" spans="1:82" ht="20.100000000000001" customHeight="1" x14ac:dyDescent="0.25">
      <c r="A6" s="4"/>
      <c r="B6" s="5"/>
      <c r="C6" s="5"/>
      <c r="D6" s="1"/>
      <c r="E6" s="1"/>
      <c r="F6" s="1"/>
      <c r="G6" s="1"/>
      <c r="H6" s="1"/>
      <c r="I6" s="1"/>
      <c r="J6" s="1"/>
      <c r="K6" s="1"/>
      <c r="L6" s="1"/>
      <c r="M6" s="1"/>
      <c r="N6" s="2"/>
      <c r="O6" s="2"/>
      <c r="P6" s="2"/>
      <c r="Q6" s="2"/>
      <c r="R6" s="2"/>
      <c r="S6" s="2"/>
      <c r="T6" s="2"/>
      <c r="U6" s="2"/>
      <c r="V6" s="3"/>
      <c r="W6" s="3"/>
      <c r="X6" s="3"/>
      <c r="Y6" s="3"/>
      <c r="Z6" s="3"/>
      <c r="AA6" s="3"/>
      <c r="AB6" s="3"/>
      <c r="AC6" s="3"/>
      <c r="AD6" s="3"/>
      <c r="AE6" s="3"/>
      <c r="AF6" s="3"/>
      <c r="AG6" s="3"/>
      <c r="AH6" s="3"/>
      <c r="AI6" s="3"/>
      <c r="AJ6" s="3"/>
      <c r="AK6" s="3"/>
      <c r="AL6" s="4"/>
      <c r="AQ6" s="33" t="b">
        <v>0</v>
      </c>
      <c r="AR6" s="33" t="b">
        <v>0</v>
      </c>
      <c r="BC6" s="43" t="str">
        <f t="shared" ref="BC6:BC108" si="0">BD6&amp;BE6&amp;BF6&amp;BG6</f>
        <v>I = Wohnen MFHfenneussa</v>
      </c>
      <c r="BD6" s="43" t="s">
        <v>270</v>
      </c>
      <c r="BE6" s="56" t="s">
        <v>12</v>
      </c>
      <c r="BF6" s="33" t="s">
        <v>312</v>
      </c>
      <c r="BG6" s="33" t="s">
        <v>7</v>
      </c>
      <c r="BH6" s="33" t="s">
        <v>145</v>
      </c>
      <c r="BI6" s="33" t="s">
        <v>146</v>
      </c>
    </row>
    <row r="7" spans="1:82" ht="12" customHeight="1" x14ac:dyDescent="0.25">
      <c r="A7" s="4"/>
      <c r="B7" s="148" t="s">
        <v>225</v>
      </c>
      <c r="C7" s="148"/>
      <c r="D7" s="148"/>
      <c r="E7" s="286"/>
      <c r="F7" s="287"/>
      <c r="G7" s="288"/>
      <c r="H7" s="288"/>
      <c r="I7" s="288"/>
      <c r="J7" s="288"/>
      <c r="K7" s="288"/>
      <c r="L7" s="288"/>
      <c r="M7" s="288"/>
      <c r="N7" s="288"/>
      <c r="O7" s="288"/>
      <c r="P7" s="289"/>
      <c r="Q7" s="290" t="s">
        <v>227</v>
      </c>
      <c r="R7" s="291"/>
      <c r="S7" s="291"/>
      <c r="T7" s="292"/>
      <c r="U7" s="293"/>
      <c r="V7" s="294"/>
      <c r="W7" s="294"/>
      <c r="X7" s="294"/>
      <c r="Y7" s="294"/>
      <c r="Z7" s="295"/>
      <c r="AA7" s="4"/>
      <c r="AB7" s="291" t="s">
        <v>18</v>
      </c>
      <c r="AC7" s="291"/>
      <c r="AD7" s="291"/>
      <c r="AE7" s="292"/>
      <c r="AF7" s="293"/>
      <c r="AG7" s="294"/>
      <c r="AH7" s="294"/>
      <c r="AI7" s="294"/>
      <c r="AJ7" s="294"/>
      <c r="AK7" s="295"/>
      <c r="AL7" s="4"/>
      <c r="AR7" s="34" t="s">
        <v>14</v>
      </c>
      <c r="BC7" s="43" t="str">
        <f t="shared" si="0"/>
        <v>I = Wohnen MFHportesneussa</v>
      </c>
      <c r="BD7" s="43" t="s">
        <v>270</v>
      </c>
      <c r="BE7" s="56" t="s">
        <v>15</v>
      </c>
      <c r="BF7" s="33" t="s">
        <v>312</v>
      </c>
      <c r="BG7" s="33" t="s">
        <v>7</v>
      </c>
      <c r="BH7" s="33">
        <v>1.2</v>
      </c>
      <c r="BI7" s="33">
        <v>1.5</v>
      </c>
    </row>
    <row r="8" spans="1:82" ht="6"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BC8" s="43" t="str">
        <f t="shared" si="0"/>
        <v>I = Wohnen MFHp343neussa</v>
      </c>
      <c r="BD8" s="43" t="s">
        <v>270</v>
      </c>
      <c r="BE8" s="56" t="s">
        <v>16</v>
      </c>
      <c r="BF8" s="33" t="s">
        <v>312</v>
      </c>
      <c r="BG8" s="33" t="s">
        <v>7</v>
      </c>
      <c r="BH8" s="33">
        <v>1.7</v>
      </c>
      <c r="BI8" s="33">
        <v>2</v>
      </c>
    </row>
    <row r="9" spans="1:82" ht="12" customHeight="1" x14ac:dyDescent="0.25">
      <c r="A9" s="4"/>
      <c r="B9" s="29" t="s">
        <v>226</v>
      </c>
      <c r="C9" s="29"/>
      <c r="D9" s="29"/>
      <c r="E9" s="4"/>
      <c r="F9" s="287"/>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9"/>
      <c r="AL9" s="4"/>
      <c r="BC9" s="43" t="str">
        <f t="shared" si="0"/>
        <v>I = Wohnen MFHstoresneussa</v>
      </c>
      <c r="BD9" s="43" t="s">
        <v>270</v>
      </c>
      <c r="BE9" s="56" t="s">
        <v>19</v>
      </c>
      <c r="BF9" s="33" t="s">
        <v>312</v>
      </c>
      <c r="BG9" s="33" t="s">
        <v>7</v>
      </c>
      <c r="BH9" s="33">
        <v>0.5</v>
      </c>
      <c r="BI9" s="33">
        <v>0.5</v>
      </c>
    </row>
    <row r="10" spans="1:82" ht="12" customHeight="1" thickBot="1" x14ac:dyDescent="0.3">
      <c r="A10" s="4"/>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7"/>
      <c r="AD10" s="7"/>
      <c r="AE10" s="7"/>
      <c r="AF10" s="6"/>
      <c r="AG10" s="6"/>
      <c r="AH10" s="6"/>
      <c r="AI10" s="6"/>
      <c r="AJ10" s="6"/>
      <c r="AK10" s="6"/>
      <c r="AL10" s="4"/>
      <c r="AQ10" s="33" t="s">
        <v>20</v>
      </c>
      <c r="AR10" s="33" t="s">
        <v>21</v>
      </c>
      <c r="BC10" s="43" t="str">
        <f t="shared" si="0"/>
        <v>I = Wohnen MFHtprenossg</v>
      </c>
      <c r="BD10" s="43" t="s">
        <v>270</v>
      </c>
      <c r="BE10" s="56" t="s">
        <v>5</v>
      </c>
      <c r="BF10" s="33" t="s">
        <v>313</v>
      </c>
      <c r="BG10" s="33" t="s">
        <v>25</v>
      </c>
      <c r="BH10" s="33">
        <v>0.25</v>
      </c>
      <c r="BI10" s="33">
        <v>0.28000000000000003</v>
      </c>
    </row>
    <row r="11" spans="1:82" ht="12"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10"/>
      <c r="AC11" s="10"/>
      <c r="AD11" s="10"/>
      <c r="AE11" s="10"/>
      <c r="AF11" s="4"/>
      <c r="AG11" s="4"/>
      <c r="AH11" s="4"/>
      <c r="AI11" s="4"/>
      <c r="AJ11" s="4"/>
      <c r="AK11" s="4"/>
      <c r="AL11" s="4"/>
      <c r="AQ11" s="33" t="b">
        <v>1</v>
      </c>
      <c r="AR11" s="33" t="b">
        <v>0</v>
      </c>
      <c r="BC11" s="43" t="str">
        <f>BD11&amp;BE11&amp;BF11&amp;BG11</f>
        <v>I = Wohnen MFHmrenossg</v>
      </c>
      <c r="BD11" s="43" t="s">
        <v>270</v>
      </c>
      <c r="BE11" s="56" t="s">
        <v>8</v>
      </c>
      <c r="BF11" s="33" t="s">
        <v>313</v>
      </c>
      <c r="BG11" s="33" t="s">
        <v>25</v>
      </c>
      <c r="BH11" s="33">
        <v>0.25</v>
      </c>
      <c r="BI11" s="33">
        <v>0.28000000000000003</v>
      </c>
    </row>
    <row r="12" spans="1:82" ht="17.45" customHeight="1" x14ac:dyDescent="0.25">
      <c r="A12" s="4"/>
      <c r="B12" s="30" t="s">
        <v>228</v>
      </c>
      <c r="C12" s="4"/>
      <c r="D12" s="4"/>
      <c r="E12" s="4"/>
      <c r="F12" s="4"/>
      <c r="G12" s="4"/>
      <c r="H12" s="4"/>
      <c r="I12" s="4"/>
      <c r="J12" s="4"/>
      <c r="K12" s="8"/>
      <c r="L12" s="4"/>
      <c r="M12" s="8"/>
      <c r="N12" s="31"/>
      <c r="O12" s="31"/>
      <c r="P12" s="31"/>
      <c r="Q12" s="31"/>
      <c r="R12" s="31"/>
      <c r="S12" s="89"/>
      <c r="T12" s="36"/>
      <c r="U12" s="36"/>
      <c r="V12" s="4"/>
      <c r="W12" s="4"/>
      <c r="X12" s="4"/>
      <c r="Y12" s="4"/>
      <c r="Z12" s="4"/>
      <c r="AA12" s="4"/>
      <c r="AB12" s="4"/>
      <c r="AC12" s="4"/>
      <c r="AD12" s="32"/>
      <c r="AE12" s="32"/>
      <c r="AF12" s="32"/>
      <c r="AG12" s="32"/>
      <c r="AH12" s="32"/>
      <c r="AI12" s="4"/>
      <c r="AJ12" s="4"/>
      <c r="AK12" s="90" t="str">
        <f>IF(AN12=1,"Begründung im Anhang anzugeben","")</f>
        <v/>
      </c>
      <c r="AL12" s="4"/>
      <c r="AN12" s="33">
        <v>0</v>
      </c>
      <c r="AQ12" s="33">
        <f>IF(AQ11=TRUE,1,0)</f>
        <v>1</v>
      </c>
      <c r="AR12" s="33">
        <f>IF(AR11=TRUE,1,0)</f>
        <v>0</v>
      </c>
      <c r="BC12" s="43"/>
      <c r="BD12" s="43"/>
      <c r="BE12" s="56"/>
    </row>
    <row r="13" spans="1:82" ht="12" customHeight="1" thickBot="1" x14ac:dyDescent="0.3">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4"/>
      <c r="AQ13" s="33" t="s">
        <v>6</v>
      </c>
      <c r="AR13" s="33" t="s">
        <v>24</v>
      </c>
      <c r="BC13" s="43" t="str">
        <f>BD13&amp;BE13&amp;BF13&amp;BG13</f>
        <v>I = Wohnen MFHsrenossg</v>
      </c>
      <c r="BD13" s="43" t="s">
        <v>270</v>
      </c>
      <c r="BE13" s="56" t="s">
        <v>11</v>
      </c>
      <c r="BF13" s="33" t="s">
        <v>313</v>
      </c>
      <c r="BG13" s="33" t="s">
        <v>25</v>
      </c>
      <c r="BH13" s="33">
        <v>0.25</v>
      </c>
      <c r="BI13" s="33">
        <v>0.28000000000000003</v>
      </c>
    </row>
    <row r="14" spans="1:82" ht="20.100000000000001" customHeight="1" x14ac:dyDescent="0.25">
      <c r="A14" s="4"/>
      <c r="B14" s="38" t="s">
        <v>229</v>
      </c>
      <c r="C14" s="38"/>
      <c r="D14" s="38"/>
      <c r="E14" s="38"/>
      <c r="F14" s="38"/>
      <c r="G14" s="38"/>
      <c r="H14" s="38"/>
      <c r="I14" s="38"/>
      <c r="J14" s="38"/>
      <c r="K14" s="38"/>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Q14" s="33" t="b">
        <f>IF(OR(AQ6,AR6),TRUE,FALSE)</f>
        <v>0</v>
      </c>
      <c r="AR14" s="33" t="b">
        <f>IF(OR(AQ11,AR11),TRUE,FALSE)</f>
        <v>1</v>
      </c>
      <c r="BC14" s="43" t="str">
        <f t="shared" si="0"/>
        <v>I = Wohnen MFHfenrenossg</v>
      </c>
      <c r="BD14" s="43" t="s">
        <v>270</v>
      </c>
      <c r="BE14" s="56" t="s">
        <v>12</v>
      </c>
      <c r="BF14" s="33" t="s">
        <v>313</v>
      </c>
      <c r="BG14" s="33" t="s">
        <v>25</v>
      </c>
      <c r="BH14" s="33" t="s">
        <v>145</v>
      </c>
      <c r="BI14" s="33" t="s">
        <v>146</v>
      </c>
      <c r="CC14" s="58"/>
      <c r="CD14" s="58"/>
    </row>
    <row r="15" spans="1:82" ht="20.100000000000001" customHeight="1" x14ac:dyDescent="0.25">
      <c r="A15" s="4"/>
      <c r="B15" s="21"/>
      <c r="C15" s="21"/>
      <c r="D15" s="21"/>
      <c r="E15" s="21"/>
      <c r="F15" s="21"/>
      <c r="G15" s="21"/>
      <c r="H15" s="21"/>
      <c r="I15" s="21"/>
      <c r="J15" s="21"/>
      <c r="K15" s="2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BC15" s="43" t="str">
        <f t="shared" si="0"/>
        <v>I = Wohnen MFHportesrenossg</v>
      </c>
      <c r="BD15" s="43" t="s">
        <v>270</v>
      </c>
      <c r="BE15" s="56" t="s">
        <v>15</v>
      </c>
      <c r="BF15" s="33" t="s">
        <v>313</v>
      </c>
      <c r="BG15" s="33" t="s">
        <v>25</v>
      </c>
      <c r="BH15" s="33">
        <v>1.2</v>
      </c>
      <c r="BI15" s="33">
        <v>1.5</v>
      </c>
      <c r="CC15" s="58"/>
      <c r="CD15" s="58"/>
    </row>
    <row r="16" spans="1:82" ht="20.100000000000001" customHeight="1" x14ac:dyDescent="0.25">
      <c r="A16" s="4"/>
      <c r="B16" s="4" t="s">
        <v>230</v>
      </c>
      <c r="C16" s="4"/>
      <c r="D16" s="4"/>
      <c r="E16" s="4"/>
      <c r="F16" s="4"/>
      <c r="H16" s="4"/>
      <c r="I16" s="4"/>
      <c r="K16" s="4"/>
      <c r="L16" s="4"/>
      <c r="M16" s="39" t="s">
        <v>231</v>
      </c>
      <c r="N16" s="39"/>
      <c r="O16" s="39"/>
      <c r="P16" s="39"/>
      <c r="Q16" s="39"/>
      <c r="R16" s="39"/>
      <c r="S16" s="39"/>
      <c r="T16" s="39"/>
      <c r="U16" s="39"/>
      <c r="V16" s="39"/>
      <c r="W16" s="39"/>
      <c r="X16" s="39"/>
      <c r="Y16" s="39" t="s">
        <v>292</v>
      </c>
      <c r="Z16" s="39"/>
      <c r="AA16" s="39"/>
      <c r="AB16" s="39"/>
      <c r="AC16" s="39"/>
      <c r="AD16" s="8"/>
      <c r="AE16" s="8"/>
      <c r="AF16" s="4"/>
      <c r="AG16" s="4"/>
      <c r="AH16" s="4"/>
      <c r="AI16" s="4"/>
      <c r="AJ16" s="4"/>
      <c r="AK16" s="4"/>
      <c r="AL16" s="4"/>
      <c r="BC16" s="43" t="str">
        <f t="shared" si="0"/>
        <v>I = Wohnen MFHp343renossg</v>
      </c>
      <c r="BD16" s="43" t="s">
        <v>270</v>
      </c>
      <c r="BE16" s="56" t="s">
        <v>16</v>
      </c>
      <c r="BF16" s="33" t="s">
        <v>313</v>
      </c>
      <c r="BG16" s="33" t="s">
        <v>25</v>
      </c>
      <c r="BH16" s="33">
        <v>1.7</v>
      </c>
      <c r="BI16" s="33">
        <v>2</v>
      </c>
    </row>
    <row r="17" spans="1:61" ht="20.100000000000001" customHeight="1" x14ac:dyDescent="0.25">
      <c r="A17" s="4"/>
      <c r="B17" s="4"/>
      <c r="C17" s="4"/>
      <c r="D17" s="4"/>
      <c r="E17" s="4"/>
      <c r="F17" s="4"/>
      <c r="G17" s="4"/>
      <c r="H17" s="4"/>
      <c r="I17" s="4"/>
      <c r="J17" s="4"/>
      <c r="K17" s="4"/>
      <c r="L17" s="4"/>
      <c r="M17" s="39" t="s">
        <v>232</v>
      </c>
      <c r="N17" s="39"/>
      <c r="O17" s="39"/>
      <c r="P17" s="39"/>
      <c r="Q17" s="39"/>
      <c r="R17" s="39"/>
      <c r="S17" s="39"/>
      <c r="T17" s="39"/>
      <c r="U17" s="39"/>
      <c r="V17" s="39"/>
      <c r="W17" s="39"/>
      <c r="X17" s="39"/>
      <c r="Y17" s="39" t="s">
        <v>233</v>
      </c>
      <c r="Z17" s="39"/>
      <c r="AA17" s="39"/>
      <c r="AB17" s="39"/>
      <c r="AC17" s="39"/>
      <c r="AD17" s="8"/>
      <c r="AE17" s="8"/>
      <c r="AF17" s="4"/>
      <c r="AG17" s="4"/>
      <c r="AH17" s="4"/>
      <c r="AI17" s="4"/>
      <c r="AJ17" s="4"/>
      <c r="AK17" s="4"/>
      <c r="AL17" s="4"/>
      <c r="BC17" s="43" t="str">
        <f t="shared" si="0"/>
        <v>I = Wohnen MFHstoresrenossg</v>
      </c>
      <c r="BD17" s="43" t="s">
        <v>270</v>
      </c>
      <c r="BE17" s="56" t="s">
        <v>19</v>
      </c>
      <c r="BF17" s="33" t="s">
        <v>313</v>
      </c>
      <c r="BG17" s="33" t="s">
        <v>25</v>
      </c>
      <c r="BH17" s="33">
        <v>0.5</v>
      </c>
      <c r="BI17" s="33">
        <v>0.5</v>
      </c>
    </row>
    <row r="18" spans="1:61" ht="12" customHeight="1" x14ac:dyDescent="0.25">
      <c r="A18" s="4"/>
      <c r="B18" s="4"/>
      <c r="C18" s="4"/>
      <c r="D18" s="4"/>
      <c r="E18" s="4"/>
      <c r="F18" s="4"/>
      <c r="G18" s="4"/>
      <c r="H18" s="4"/>
      <c r="I18" s="4"/>
      <c r="J18" s="4"/>
      <c r="K18" s="4"/>
      <c r="L18" s="37" t="str">
        <f>IF(AND(AQ14=TRUE,AR14=TRUE),"Ein Nachweis für EBF Neu und ein Nachweiss EBF bestehend füllen","")</f>
        <v/>
      </c>
      <c r="M18" s="4"/>
      <c r="N18" s="4"/>
      <c r="O18" s="4"/>
      <c r="P18" s="4"/>
      <c r="Q18" s="4"/>
      <c r="R18" s="4"/>
      <c r="S18" s="4"/>
      <c r="T18" s="4"/>
      <c r="U18" s="4"/>
      <c r="V18" s="4"/>
      <c r="W18" s="4"/>
      <c r="X18" s="4"/>
      <c r="Y18" s="4"/>
      <c r="Z18" s="4"/>
      <c r="AA18" s="4"/>
      <c r="AB18" s="4"/>
      <c r="AC18" s="4"/>
      <c r="AD18" s="4"/>
      <c r="AE18" s="4"/>
      <c r="AF18" s="4"/>
      <c r="AG18" s="4"/>
      <c r="AH18" s="4"/>
      <c r="AI18" s="4"/>
      <c r="AJ18" s="4"/>
      <c r="AK18" s="4"/>
      <c r="AL18" s="4"/>
      <c r="BC18" s="43" t="str">
        <f t="shared" si="0"/>
        <v>I = Wohnen MFHtprenoz</v>
      </c>
      <c r="BD18" s="43" t="s">
        <v>270</v>
      </c>
      <c r="BE18" s="56" t="s">
        <v>5</v>
      </c>
      <c r="BF18" s="33" t="s">
        <v>313</v>
      </c>
      <c r="BG18" s="33" t="s">
        <v>381</v>
      </c>
      <c r="BH18" s="33">
        <v>0.25</v>
      </c>
      <c r="BI18" s="33">
        <v>0.28000000000000003</v>
      </c>
    </row>
    <row r="19" spans="1:61" ht="18" customHeight="1" x14ac:dyDescent="0.25">
      <c r="A19" s="4"/>
      <c r="B19" s="4" t="s">
        <v>234</v>
      </c>
      <c r="C19" s="69"/>
      <c r="D19" s="69"/>
      <c r="E19" s="300"/>
      <c r="F19" s="300"/>
      <c r="G19" s="300"/>
      <c r="H19" s="70" t="s">
        <v>168</v>
      </c>
      <c r="I19" s="69"/>
      <c r="J19" s="4" t="s">
        <v>235</v>
      </c>
      <c r="K19" s="4"/>
      <c r="L19" s="4"/>
      <c r="M19" s="4"/>
      <c r="N19" s="4"/>
      <c r="O19" s="300"/>
      <c r="P19" s="300"/>
      <c r="Q19" s="300"/>
      <c r="R19" s="298" t="s">
        <v>168</v>
      </c>
      <c r="S19" s="298"/>
      <c r="T19" s="4" t="s">
        <v>236</v>
      </c>
      <c r="U19" s="4"/>
      <c r="V19" s="299" t="str">
        <f>IF(O19=0,"-", IF(AN19&gt;20,"&gt;20","&lt;20"))</f>
        <v>-</v>
      </c>
      <c r="W19" s="299"/>
      <c r="X19" s="69" t="s">
        <v>171</v>
      </c>
      <c r="Y19" s="4"/>
      <c r="Z19" s="4"/>
      <c r="AA19" s="4"/>
      <c r="AB19" s="4"/>
      <c r="AC19" s="4"/>
      <c r="AD19" s="4"/>
      <c r="AE19" s="4"/>
      <c r="AF19" s="4"/>
      <c r="AG19" s="4"/>
      <c r="AH19" s="4"/>
      <c r="AI19" s="4"/>
      <c r="AJ19" s="4"/>
      <c r="AK19" s="4"/>
      <c r="AL19" s="4"/>
      <c r="AN19" s="33" t="e">
        <f>E19/O19*100</f>
        <v>#DIV/0!</v>
      </c>
      <c r="BC19" s="43" t="str">
        <f t="shared" si="0"/>
        <v>I = Wohnen MFHmrenoz</v>
      </c>
      <c r="BD19" s="43" t="s">
        <v>270</v>
      </c>
      <c r="BE19" s="56" t="s">
        <v>8</v>
      </c>
      <c r="BF19" s="33" t="s">
        <v>313</v>
      </c>
      <c r="BG19" s="33" t="s">
        <v>381</v>
      </c>
      <c r="BH19" s="33">
        <v>0.25</v>
      </c>
      <c r="BI19" s="33">
        <v>0.28000000000000003</v>
      </c>
    </row>
    <row r="20" spans="1:61" ht="16.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BC20" s="43" t="str">
        <f t="shared" si="0"/>
        <v>I = Wohnen MFHsrenoz</v>
      </c>
      <c r="BD20" s="43" t="s">
        <v>270</v>
      </c>
      <c r="BE20" s="56" t="s">
        <v>11</v>
      </c>
      <c r="BF20" s="33" t="s">
        <v>313</v>
      </c>
      <c r="BG20" s="33" t="s">
        <v>381</v>
      </c>
      <c r="BH20" s="33">
        <v>0.25</v>
      </c>
      <c r="BI20" s="33">
        <v>0.28000000000000003</v>
      </c>
    </row>
    <row r="21" spans="1:61" ht="16.5" customHeight="1" x14ac:dyDescent="0.25">
      <c r="A21" s="4"/>
      <c r="B21" s="4" t="s">
        <v>237</v>
      </c>
      <c r="C21" s="4"/>
      <c r="D21" s="4"/>
      <c r="E21" s="4"/>
      <c r="F21" s="4"/>
      <c r="G21" s="4"/>
      <c r="H21" s="4"/>
      <c r="I21" s="4"/>
      <c r="J21" s="4"/>
      <c r="K21" s="4"/>
      <c r="L21" s="36"/>
      <c r="M21" s="94" t="s">
        <v>238</v>
      </c>
      <c r="N21" s="36"/>
      <c r="O21" s="36"/>
      <c r="P21" s="36"/>
      <c r="Q21" s="94" t="s">
        <v>239</v>
      </c>
      <c r="R21" s="36"/>
      <c r="S21" s="4"/>
      <c r="T21" s="296" t="str">
        <f>IF(AN24=2,"Systemnachweis benötigt, Formular EN-VS-102b benutzen","")</f>
        <v/>
      </c>
      <c r="U21" s="296"/>
      <c r="V21" s="296"/>
      <c r="W21" s="296"/>
      <c r="X21" s="296"/>
      <c r="Y21" s="296"/>
      <c r="Z21" s="296"/>
      <c r="AA21" s="296"/>
      <c r="AB21" s="296"/>
      <c r="AC21" s="296"/>
      <c r="AD21" s="296"/>
      <c r="AE21" s="296"/>
      <c r="AF21" s="296"/>
      <c r="AG21" s="296"/>
      <c r="AH21" s="296"/>
      <c r="AI21" s="296"/>
      <c r="AJ21" s="296"/>
      <c r="AK21" s="296"/>
      <c r="AL21" s="4"/>
      <c r="BC21" s="43" t="str">
        <f t="shared" si="0"/>
        <v>I = Wohnen MFHfenrenoz</v>
      </c>
      <c r="BD21" s="43" t="s">
        <v>270</v>
      </c>
      <c r="BE21" s="56" t="s">
        <v>12</v>
      </c>
      <c r="BF21" s="33" t="s">
        <v>313</v>
      </c>
      <c r="BG21" s="33" t="s">
        <v>381</v>
      </c>
      <c r="BH21" s="33">
        <v>1</v>
      </c>
      <c r="BI21" s="33">
        <v>1.3</v>
      </c>
    </row>
    <row r="22" spans="1:61" ht="20.100000000000001" customHeight="1" thickBot="1" x14ac:dyDescent="0.3">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4"/>
      <c r="BC22" s="43" t="str">
        <f t="shared" si="0"/>
        <v>I = Wohnen MFHportesrenoz</v>
      </c>
      <c r="BD22" s="43" t="s">
        <v>270</v>
      </c>
      <c r="BE22" s="56" t="s">
        <v>15</v>
      </c>
      <c r="BF22" s="33" t="s">
        <v>313</v>
      </c>
      <c r="BG22" s="33" t="s">
        <v>381</v>
      </c>
      <c r="BH22" s="33">
        <v>1.2</v>
      </c>
      <c r="BI22" s="33">
        <v>1.5</v>
      </c>
    </row>
    <row r="23" spans="1:61" ht="16.149999999999999" customHeight="1" x14ac:dyDescent="0.25">
      <c r="A23" s="4"/>
      <c r="B23" s="285" t="s">
        <v>355</v>
      </c>
      <c r="C23" s="285"/>
      <c r="D23" s="285"/>
      <c r="E23" s="285"/>
      <c r="F23" s="285"/>
      <c r="G23" s="285"/>
      <c r="H23" s="285"/>
      <c r="I23" s="285"/>
      <c r="J23" s="285"/>
      <c r="K23" s="285"/>
      <c r="L23" s="95"/>
      <c r="M23" s="95"/>
      <c r="N23" s="95"/>
      <c r="O23" s="95"/>
      <c r="P23" s="95"/>
      <c r="Q23" s="95"/>
      <c r="R23" s="95"/>
      <c r="S23" s="95"/>
      <c r="T23" s="95"/>
      <c r="U23" s="95"/>
      <c r="V23" s="95"/>
      <c r="W23" s="95"/>
      <c r="X23" s="95"/>
      <c r="Y23" s="95"/>
      <c r="Z23" s="95"/>
      <c r="AA23" s="51"/>
      <c r="AB23" s="96"/>
      <c r="AC23" s="96"/>
      <c r="AD23" s="96"/>
      <c r="AE23" s="96"/>
      <c r="AF23" s="96"/>
      <c r="AG23" s="96"/>
      <c r="AH23" s="96"/>
      <c r="AI23" s="96"/>
      <c r="AJ23" s="95"/>
      <c r="AK23" s="97"/>
      <c r="AL23" s="4"/>
      <c r="BC23" s="43" t="str">
        <f t="shared" si="0"/>
        <v>I = Wohnen MFHp343renoz</v>
      </c>
      <c r="BD23" s="43" t="s">
        <v>270</v>
      </c>
      <c r="BE23" s="56" t="s">
        <v>16</v>
      </c>
      <c r="BF23" s="33" t="s">
        <v>313</v>
      </c>
      <c r="BG23" s="33" t="s">
        <v>381</v>
      </c>
      <c r="BH23" s="33">
        <v>1.7</v>
      </c>
      <c r="BI23" s="33">
        <v>2</v>
      </c>
    </row>
    <row r="24" spans="1:61" ht="15.6" customHeight="1" x14ac:dyDescent="0.25">
      <c r="A24" s="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4"/>
      <c r="AN24" s="33">
        <v>0</v>
      </c>
      <c r="BC24" s="43" t="str">
        <f t="shared" si="0"/>
        <v>I = Wohnen MFHstoresrenoz</v>
      </c>
      <c r="BD24" s="43" t="s">
        <v>270</v>
      </c>
      <c r="BE24" s="56" t="s">
        <v>19</v>
      </c>
      <c r="BF24" s="33" t="s">
        <v>313</v>
      </c>
      <c r="BG24" s="33" t="s">
        <v>381</v>
      </c>
      <c r="BH24" s="33">
        <v>0.5</v>
      </c>
      <c r="BI24" s="33">
        <v>0.5</v>
      </c>
    </row>
    <row r="25" spans="1:61" ht="17.25" customHeight="1" x14ac:dyDescent="0.25">
      <c r="A25" s="4"/>
      <c r="B25" s="95" t="s">
        <v>33</v>
      </c>
      <c r="C25" s="95"/>
      <c r="D25" s="95"/>
      <c r="E25" s="95"/>
      <c r="F25" s="95"/>
      <c r="G25" s="95"/>
      <c r="H25" s="95"/>
      <c r="I25" s="95"/>
      <c r="J25" s="98"/>
      <c r="K25" s="98"/>
      <c r="L25" s="98"/>
      <c r="M25" s="98"/>
      <c r="N25" s="98"/>
      <c r="O25" s="95"/>
      <c r="P25" s="95"/>
      <c r="Q25" s="95" t="s">
        <v>240</v>
      </c>
      <c r="R25" s="95"/>
      <c r="S25" s="51"/>
      <c r="T25" s="95"/>
      <c r="U25" s="146"/>
      <c r="V25" s="146"/>
      <c r="W25" s="95" t="s">
        <v>380</v>
      </c>
      <c r="X25" s="95"/>
      <c r="Y25" s="99" t="str">
        <f>IF(AN28=1,"EN-VS-104 anzugeben, Anforderungen gemäss kEnG Art.43","")</f>
        <v/>
      </c>
      <c r="Z25" s="95"/>
      <c r="AA25" s="95"/>
      <c r="AB25" s="95"/>
      <c r="AC25" s="95"/>
      <c r="AD25" s="95"/>
      <c r="AE25" s="95"/>
      <c r="AF25" s="95"/>
      <c r="AG25" s="95"/>
      <c r="AH25" s="95"/>
      <c r="AI25" s="95"/>
      <c r="AJ25" s="95"/>
      <c r="AK25" s="95"/>
      <c r="AL25" s="8"/>
      <c r="BC25" s="43" t="str">
        <f t="shared" si="0"/>
        <v>II = Wohnen EFHtpneussa</v>
      </c>
      <c r="BD25" s="43" t="s">
        <v>271</v>
      </c>
      <c r="BE25" s="56" t="s">
        <v>5</v>
      </c>
      <c r="BF25" s="33" t="s">
        <v>312</v>
      </c>
      <c r="BG25" s="33" t="s">
        <v>7</v>
      </c>
      <c r="BH25" s="33">
        <v>0.17</v>
      </c>
      <c r="BI25" s="33">
        <v>0.25</v>
      </c>
    </row>
    <row r="26" spans="1:61" ht="12" customHeight="1" x14ac:dyDescent="0.25">
      <c r="A26" s="4"/>
      <c r="B26" s="95"/>
      <c r="C26" s="95"/>
      <c r="D26" s="95"/>
      <c r="E26" s="95"/>
      <c r="F26" s="95"/>
      <c r="G26" s="95"/>
      <c r="H26" s="95"/>
      <c r="I26" s="95"/>
      <c r="J26" s="95"/>
      <c r="K26" s="95"/>
      <c r="L26" s="95"/>
      <c r="M26" s="95"/>
      <c r="N26" s="95"/>
      <c r="O26" s="95"/>
      <c r="P26" s="95"/>
      <c r="Q26" s="95"/>
      <c r="R26" s="95"/>
      <c r="S26" s="95"/>
      <c r="T26" s="95"/>
      <c r="U26" s="95"/>
      <c r="V26" s="95"/>
      <c r="W26" s="95"/>
      <c r="X26" s="95"/>
      <c r="Y26" s="100"/>
      <c r="Z26" s="95"/>
      <c r="AA26" s="95"/>
      <c r="AB26" s="95"/>
      <c r="AC26" s="95"/>
      <c r="AD26" s="95"/>
      <c r="AE26" s="95"/>
      <c r="AF26" s="95"/>
      <c r="AG26" s="95"/>
      <c r="AH26" s="95"/>
      <c r="AI26" s="95"/>
      <c r="AJ26" s="95"/>
      <c r="AK26" s="95"/>
      <c r="AL26" s="8"/>
      <c r="BC26" s="43" t="str">
        <f>BD26&amp;BE26&amp;BF26&amp;BG26</f>
        <v>II = Wohnen EFHmneussa</v>
      </c>
      <c r="BD26" s="43" t="s">
        <v>271</v>
      </c>
      <c r="BE26" s="56" t="s">
        <v>8</v>
      </c>
      <c r="BF26" s="33" t="s">
        <v>312</v>
      </c>
      <c r="BG26" s="33" t="s">
        <v>7</v>
      </c>
      <c r="BH26" s="33">
        <v>0.17</v>
      </c>
      <c r="BI26" s="33">
        <v>0.25</v>
      </c>
    </row>
    <row r="27" spans="1:61" ht="12" customHeight="1" x14ac:dyDescent="0.25">
      <c r="A27" s="4"/>
      <c r="B27" s="95" t="s">
        <v>241</v>
      </c>
      <c r="C27" s="95"/>
      <c r="D27" s="95"/>
      <c r="E27" s="95"/>
      <c r="F27" s="95"/>
      <c r="G27" s="95"/>
      <c r="H27" s="95"/>
      <c r="I27" s="95"/>
      <c r="J27" s="95"/>
      <c r="K27" s="95"/>
      <c r="L27" s="95"/>
      <c r="M27" s="95"/>
      <c r="N27" s="95"/>
      <c r="O27" s="95"/>
      <c r="P27" s="95"/>
      <c r="Q27" s="95"/>
      <c r="R27" s="98"/>
      <c r="S27" s="98"/>
      <c r="T27" s="98"/>
      <c r="U27" s="98"/>
      <c r="V27" s="98"/>
      <c r="W27" s="98"/>
      <c r="X27" s="95"/>
      <c r="Y27" s="99" t="str">
        <f>IF(AN30=1,"Individuellen Heizkostenabrechnung ","")</f>
        <v/>
      </c>
      <c r="Z27" s="95"/>
      <c r="AA27" s="95"/>
      <c r="AB27" s="95"/>
      <c r="AC27" s="95"/>
      <c r="AD27" s="95"/>
      <c r="AE27" s="95"/>
      <c r="AF27" s="95"/>
      <c r="AG27" s="95"/>
      <c r="AH27" s="95"/>
      <c r="AI27" s="95"/>
      <c r="AJ27" s="95"/>
      <c r="AK27" s="95"/>
      <c r="AL27" s="8"/>
      <c r="BC27" s="43" t="str">
        <f>BD27&amp;BE27&amp;BF27&amp;BG27</f>
        <v>II = Wohnen EFHsneussa</v>
      </c>
      <c r="BD27" s="43" t="s">
        <v>271</v>
      </c>
      <c r="BE27" s="56" t="s">
        <v>11</v>
      </c>
      <c r="BF27" s="33" t="s">
        <v>312</v>
      </c>
      <c r="BG27" s="33" t="s">
        <v>7</v>
      </c>
      <c r="BH27" s="33">
        <v>0.17</v>
      </c>
      <c r="BI27" s="33">
        <v>0.25</v>
      </c>
    </row>
    <row r="28" spans="1:61" ht="12" customHeight="1" x14ac:dyDescent="0.25">
      <c r="A28" s="4"/>
      <c r="B28" s="95" t="s">
        <v>242</v>
      </c>
      <c r="C28" s="95"/>
      <c r="D28" s="95"/>
      <c r="E28" s="95"/>
      <c r="F28" s="95"/>
      <c r="G28" s="95"/>
      <c r="H28" s="95"/>
      <c r="I28" s="95"/>
      <c r="J28" s="95"/>
      <c r="K28" s="95"/>
      <c r="L28" s="95"/>
      <c r="M28" s="95"/>
      <c r="N28" s="95"/>
      <c r="O28" s="95"/>
      <c r="P28" s="95"/>
      <c r="Q28" s="95"/>
      <c r="R28" s="98"/>
      <c r="S28" s="98"/>
      <c r="T28" s="98"/>
      <c r="U28" s="98"/>
      <c r="V28" s="98"/>
      <c r="W28" s="98"/>
      <c r="X28" s="95"/>
      <c r="Y28" s="99" t="str">
        <f>IF(AN30=1,"pro Gebäude erforderlich","")</f>
        <v/>
      </c>
      <c r="Z28" s="95"/>
      <c r="AA28" s="95"/>
      <c r="AB28" s="95"/>
      <c r="AC28" s="95"/>
      <c r="AD28" s="95"/>
      <c r="AE28" s="95"/>
      <c r="AF28" s="95"/>
      <c r="AG28" s="95"/>
      <c r="AH28" s="95"/>
      <c r="AI28" s="95"/>
      <c r="AJ28" s="95"/>
      <c r="AK28" s="95"/>
      <c r="AL28" s="8"/>
      <c r="AN28" s="33">
        <v>0</v>
      </c>
      <c r="BC28" s="43" t="str">
        <f t="shared" si="0"/>
        <v>II = Wohnen EFHfenneussa</v>
      </c>
      <c r="BD28" s="43" t="s">
        <v>271</v>
      </c>
      <c r="BE28" s="56" t="s">
        <v>12</v>
      </c>
      <c r="BF28" s="33" t="s">
        <v>312</v>
      </c>
      <c r="BG28" s="33" t="s">
        <v>7</v>
      </c>
      <c r="BH28" s="33" t="s">
        <v>145</v>
      </c>
      <c r="BI28" s="33" t="s">
        <v>146</v>
      </c>
    </row>
    <row r="29" spans="1:61" ht="20.100000000000001" customHeight="1" thickBot="1" x14ac:dyDescent="0.3">
      <c r="A29" s="12" t="b">
        <v>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4"/>
      <c r="BC29" s="43" t="str">
        <f t="shared" si="0"/>
        <v>II = Wohnen EFHportesneussa</v>
      </c>
      <c r="BD29" s="43" t="s">
        <v>271</v>
      </c>
      <c r="BE29" s="56" t="s">
        <v>15</v>
      </c>
      <c r="BF29" s="33" t="s">
        <v>312</v>
      </c>
      <c r="BG29" s="33" t="s">
        <v>7</v>
      </c>
      <c r="BH29" s="33">
        <v>1.2</v>
      </c>
      <c r="BI29" s="33">
        <v>1.5</v>
      </c>
    </row>
    <row r="30" spans="1:61" ht="15" customHeight="1" x14ac:dyDescent="0.25">
      <c r="A30" s="12" t="b">
        <v>0</v>
      </c>
      <c r="B30" s="283" t="s">
        <v>243</v>
      </c>
      <c r="C30" s="283"/>
      <c r="D30" s="283"/>
      <c r="E30" s="283"/>
      <c r="F30" s="283"/>
      <c r="G30" s="283"/>
      <c r="H30" s="283"/>
      <c r="I30" s="283"/>
      <c r="J30" s="283"/>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33">
        <v>0</v>
      </c>
      <c r="BC30" s="43" t="str">
        <f t="shared" si="0"/>
        <v>II = Wohnen EFHp343neussa</v>
      </c>
      <c r="BD30" s="43" t="s">
        <v>271</v>
      </c>
      <c r="BE30" s="56" t="s">
        <v>16</v>
      </c>
      <c r="BF30" s="33" t="s">
        <v>312</v>
      </c>
      <c r="BG30" s="33" t="s">
        <v>7</v>
      </c>
      <c r="BH30" s="33">
        <v>1.7</v>
      </c>
      <c r="BI30" s="33">
        <v>2</v>
      </c>
    </row>
    <row r="31" spans="1:61" ht="15" customHeight="1" x14ac:dyDescent="0.25">
      <c r="A31" s="4"/>
      <c r="B31" s="4" t="s">
        <v>244</v>
      </c>
      <c r="C31" s="4"/>
      <c r="D31" s="4"/>
      <c r="E31" s="4"/>
      <c r="F31" s="4"/>
      <c r="H31" s="36"/>
      <c r="I31" s="4" t="s">
        <v>342</v>
      </c>
      <c r="K31" s="4"/>
      <c r="L31" s="4"/>
      <c r="M31" s="4"/>
      <c r="N31" s="4"/>
      <c r="O31" s="4"/>
      <c r="P31" s="4"/>
      <c r="Q31" s="4"/>
      <c r="R31" s="4"/>
      <c r="S31" s="4"/>
      <c r="T31" s="4"/>
      <c r="U31" s="4"/>
      <c r="V31" s="4"/>
      <c r="W31" s="4"/>
      <c r="X31" s="4"/>
      <c r="Y31" s="35" t="str">
        <f>IF(AN34=1,"Fournir EN-VS-105","")</f>
        <v/>
      </c>
      <c r="Z31" s="4"/>
      <c r="AA31" s="4"/>
      <c r="AB31" s="4"/>
      <c r="AC31" s="4"/>
      <c r="AD31" s="4"/>
      <c r="AE31" s="4"/>
      <c r="AF31" s="4"/>
      <c r="AG31" s="4"/>
      <c r="AH31" s="4"/>
      <c r="AI31" s="4"/>
      <c r="AJ31" s="4"/>
      <c r="AK31" s="4"/>
      <c r="AL31" s="4"/>
      <c r="BC31" s="43" t="str">
        <f t="shared" si="0"/>
        <v>II = Wohnen EFHstoresneussa</v>
      </c>
      <c r="BD31" s="43" t="s">
        <v>271</v>
      </c>
      <c r="BE31" s="56" t="s">
        <v>19</v>
      </c>
      <c r="BF31" s="33" t="s">
        <v>312</v>
      </c>
      <c r="BG31" s="33" t="s">
        <v>7</v>
      </c>
      <c r="BH31" s="33">
        <v>0.5</v>
      </c>
      <c r="BI31" s="33">
        <v>0.5</v>
      </c>
    </row>
    <row r="32" spans="1:61" ht="15" customHeight="1" x14ac:dyDescent="0.25">
      <c r="A32" s="4"/>
      <c r="B32" s="4" t="s">
        <v>245</v>
      </c>
      <c r="C32" s="4"/>
      <c r="D32" s="4"/>
      <c r="E32" s="4"/>
      <c r="F32" s="4"/>
      <c r="G32" s="4"/>
      <c r="H32" s="36"/>
      <c r="I32" s="4" t="s">
        <v>343</v>
      </c>
      <c r="J32" s="4"/>
      <c r="K32" s="4"/>
      <c r="L32" s="4"/>
      <c r="M32" s="4"/>
      <c r="N32" s="4"/>
      <c r="O32" s="4"/>
      <c r="P32" s="4"/>
      <c r="Q32" s="4"/>
      <c r="R32" s="4"/>
      <c r="S32" s="4"/>
      <c r="T32" s="4"/>
      <c r="U32" s="4"/>
      <c r="V32" s="4"/>
      <c r="W32" s="4"/>
      <c r="X32" s="4"/>
      <c r="Y32" s="35" t="str">
        <f>IF(AN34=2,"Fournir EN-VS-105","")</f>
        <v/>
      </c>
      <c r="Z32" s="4"/>
      <c r="AA32" s="4"/>
      <c r="AB32" s="4"/>
      <c r="AC32" s="4"/>
      <c r="AD32" s="4"/>
      <c r="AE32" s="4"/>
      <c r="AF32" s="4"/>
      <c r="AG32" s="4"/>
      <c r="AH32" s="4"/>
      <c r="AI32" s="4"/>
      <c r="AJ32" s="4"/>
      <c r="AK32" s="4"/>
      <c r="AL32" s="4"/>
      <c r="BC32" s="43" t="str">
        <f t="shared" si="0"/>
        <v>II = Wohnen EFHtprenossg</v>
      </c>
      <c r="BD32" s="43" t="s">
        <v>271</v>
      </c>
      <c r="BE32" s="56" t="s">
        <v>5</v>
      </c>
      <c r="BF32" s="33" t="s">
        <v>313</v>
      </c>
      <c r="BG32" s="33" t="s">
        <v>25</v>
      </c>
      <c r="BH32" s="33">
        <v>0.25</v>
      </c>
      <c r="BI32" s="33">
        <v>0.28000000000000003</v>
      </c>
    </row>
    <row r="33" spans="1:61" ht="15" customHeight="1" x14ac:dyDescent="0.25">
      <c r="A33" s="4"/>
      <c r="B33" s="4"/>
      <c r="C33" s="4"/>
      <c r="D33" s="4"/>
      <c r="E33" s="4"/>
      <c r="F33" s="4"/>
      <c r="G33" s="4"/>
      <c r="H33" s="36"/>
      <c r="I33" s="4" t="s">
        <v>344</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BC33" s="43" t="str">
        <f>BD33&amp;BE33&amp;BF33&amp;BG33</f>
        <v>II = Wohnen EFHmrenossg</v>
      </c>
      <c r="BD33" s="43" t="s">
        <v>271</v>
      </c>
      <c r="BE33" s="56" t="s">
        <v>8</v>
      </c>
      <c r="BF33" s="33" t="s">
        <v>313</v>
      </c>
      <c r="BG33" s="33" t="s">
        <v>25</v>
      </c>
      <c r="BH33" s="33">
        <v>0.25</v>
      </c>
      <c r="BI33" s="33">
        <v>0.28000000000000003</v>
      </c>
    </row>
    <row r="34" spans="1:61" ht="15" customHeight="1" x14ac:dyDescent="0.25">
      <c r="A34" s="4"/>
      <c r="B34" s="4"/>
      <c r="C34" s="4"/>
      <c r="D34" s="4"/>
      <c r="E34" s="4"/>
      <c r="F34" s="4"/>
      <c r="G34" s="4"/>
      <c r="H34" s="36"/>
      <c r="I34" s="4" t="s">
        <v>345</v>
      </c>
      <c r="K34" s="4"/>
      <c r="L34" s="4"/>
      <c r="M34" s="4"/>
      <c r="O34" s="4"/>
      <c r="P34" s="4"/>
      <c r="Q34" s="4"/>
      <c r="R34" s="4"/>
      <c r="S34" s="4"/>
      <c r="T34" s="4"/>
      <c r="U34" s="4"/>
      <c r="V34" s="4"/>
      <c r="W34" s="4"/>
      <c r="X34" s="4"/>
      <c r="Y34" s="4"/>
      <c r="Z34" s="4"/>
      <c r="AA34" s="4"/>
      <c r="AB34" s="4"/>
      <c r="AC34" s="4"/>
      <c r="AD34" s="4"/>
      <c r="AE34" s="4"/>
      <c r="AF34" s="4"/>
      <c r="AG34" s="4"/>
      <c r="AH34" s="4"/>
      <c r="AI34" s="4"/>
      <c r="AJ34" s="4"/>
      <c r="AK34" s="4"/>
      <c r="AL34" s="4"/>
      <c r="AN34" s="33">
        <v>0</v>
      </c>
      <c r="BC34" s="43" t="str">
        <f>BD34&amp;BE34&amp;BF34&amp;BG34</f>
        <v>II = Wohnen EFHsrenossg</v>
      </c>
      <c r="BD34" s="43" t="s">
        <v>271</v>
      </c>
      <c r="BE34" s="56" t="s">
        <v>11</v>
      </c>
      <c r="BF34" s="33" t="s">
        <v>313</v>
      </c>
      <c r="BG34" s="33" t="s">
        <v>25</v>
      </c>
      <c r="BH34" s="33">
        <v>0.25</v>
      </c>
      <c r="BI34" s="33">
        <v>0.28000000000000003</v>
      </c>
    </row>
    <row r="35" spans="1:61" ht="15" customHeight="1" x14ac:dyDescent="0.25">
      <c r="A35" s="4"/>
      <c r="B35" s="4"/>
      <c r="C35" s="4"/>
      <c r="D35" s="4"/>
      <c r="E35" s="4"/>
      <c r="F35" s="4"/>
      <c r="G35" s="4"/>
      <c r="H35" s="36"/>
      <c r="I35" s="4" t="s">
        <v>346</v>
      </c>
      <c r="J35" s="4"/>
      <c r="K35" s="4"/>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4"/>
      <c r="BC35" s="43" t="str">
        <f t="shared" si="0"/>
        <v>II = Wohnen EFHfenrenossg</v>
      </c>
      <c r="BD35" s="43" t="s">
        <v>271</v>
      </c>
      <c r="BE35" s="56" t="s">
        <v>12</v>
      </c>
      <c r="BF35" s="33" t="s">
        <v>313</v>
      </c>
      <c r="BG35" s="33" t="s">
        <v>25</v>
      </c>
      <c r="BH35" s="33" t="s">
        <v>145</v>
      </c>
      <c r="BI35" s="33" t="s">
        <v>146</v>
      </c>
    </row>
    <row r="36" spans="1:61" ht="20.100000000000001" customHeight="1" thickBot="1" x14ac:dyDescent="0.3">
      <c r="A36" s="4"/>
      <c r="B36" s="6"/>
      <c r="C36" s="6"/>
      <c r="D36" s="6"/>
      <c r="E36" s="6"/>
      <c r="F36" s="6"/>
      <c r="G36" s="13"/>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
      <c r="BC36" s="43" t="str">
        <f t="shared" si="0"/>
        <v>II = Wohnen EFHportesrenossg</v>
      </c>
      <c r="BD36" s="43" t="s">
        <v>271</v>
      </c>
      <c r="BE36" s="56" t="s">
        <v>15</v>
      </c>
      <c r="BF36" s="33" t="s">
        <v>313</v>
      </c>
      <c r="BG36" s="33" t="s">
        <v>25</v>
      </c>
      <c r="BH36" s="33">
        <v>1.2</v>
      </c>
      <c r="BI36" s="33">
        <v>1.5</v>
      </c>
    </row>
    <row r="37" spans="1:61" ht="15.75" x14ac:dyDescent="0.25">
      <c r="A37" s="4"/>
      <c r="B37" s="283" t="s">
        <v>246</v>
      </c>
      <c r="C37" s="283"/>
      <c r="D37" s="283"/>
      <c r="E37" s="283"/>
      <c r="F37" s="283"/>
      <c r="G37" s="283"/>
      <c r="H37" s="283"/>
      <c r="I37" s="283"/>
      <c r="J37" s="283"/>
      <c r="K37" s="283"/>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BC37" s="43" t="str">
        <f t="shared" si="0"/>
        <v>II = Wohnen EFHp343renossg</v>
      </c>
      <c r="BD37" s="43" t="s">
        <v>271</v>
      </c>
      <c r="BE37" s="56" t="s">
        <v>16</v>
      </c>
      <c r="BF37" s="33" t="s">
        <v>313</v>
      </c>
      <c r="BG37" s="33" t="s">
        <v>25</v>
      </c>
      <c r="BH37" s="33">
        <v>1.7</v>
      </c>
      <c r="BI37" s="33">
        <v>2</v>
      </c>
    </row>
    <row r="38" spans="1:61" ht="15" customHeight="1" x14ac:dyDescent="0.25">
      <c r="A38" s="4"/>
      <c r="B38" s="4" t="s">
        <v>247</v>
      </c>
      <c r="C38" s="4"/>
      <c r="D38" s="4"/>
      <c r="E38" s="4"/>
      <c r="F38" s="4"/>
      <c r="H38" s="36"/>
      <c r="I38" s="4" t="s">
        <v>359</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BC38" s="43" t="str">
        <f t="shared" si="0"/>
        <v>II = Wohnen EFHstoresrenossg</v>
      </c>
      <c r="BD38" s="43" t="s">
        <v>271</v>
      </c>
      <c r="BE38" s="56" t="s">
        <v>19</v>
      </c>
      <c r="BF38" s="33" t="s">
        <v>313</v>
      </c>
      <c r="BG38" s="33" t="s">
        <v>25</v>
      </c>
      <c r="BH38" s="33">
        <v>0.5</v>
      </c>
      <c r="BI38" s="33">
        <v>0.5</v>
      </c>
    </row>
    <row r="39" spans="1:61" ht="15" customHeight="1" x14ac:dyDescent="0.25">
      <c r="A39" s="4"/>
      <c r="B39" s="4"/>
      <c r="C39" s="4"/>
      <c r="D39" s="4"/>
      <c r="E39" s="4"/>
      <c r="F39" s="4"/>
      <c r="G39" s="4"/>
      <c r="H39" s="36"/>
      <c r="I39" s="4" t="s">
        <v>248</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BC39" s="43" t="str">
        <f t="shared" si="0"/>
        <v>II = Wohnen EFHtprenoz</v>
      </c>
      <c r="BD39" s="43" t="s">
        <v>271</v>
      </c>
      <c r="BE39" s="56" t="s">
        <v>5</v>
      </c>
      <c r="BF39" s="33" t="s">
        <v>313</v>
      </c>
      <c r="BG39" s="33" t="s">
        <v>381</v>
      </c>
      <c r="BH39" s="33">
        <v>0.25</v>
      </c>
      <c r="BI39" s="33">
        <v>0.28000000000000003</v>
      </c>
    </row>
    <row r="40" spans="1:61" ht="15" customHeight="1" x14ac:dyDescent="0.25">
      <c r="A40" s="4"/>
      <c r="B40" s="4"/>
      <c r="C40" s="4"/>
      <c r="D40" s="4"/>
      <c r="E40" s="4"/>
      <c r="F40" s="4"/>
      <c r="G40" s="4"/>
      <c r="H40" s="36"/>
      <c r="I40" s="4" t="s">
        <v>357</v>
      </c>
      <c r="J40" s="4"/>
      <c r="K40" s="4"/>
      <c r="L40" s="4"/>
      <c r="M40" s="4"/>
      <c r="N40" s="4"/>
      <c r="O40" s="4"/>
      <c r="P40" s="4"/>
      <c r="Q40" s="4"/>
      <c r="R40" s="4"/>
      <c r="S40" s="4"/>
      <c r="T40" s="4"/>
      <c r="U40" s="4" t="s">
        <v>249</v>
      </c>
      <c r="V40" s="4"/>
      <c r="W40" s="4"/>
      <c r="X40" s="4"/>
      <c r="Y40" s="284" t="s">
        <v>257</v>
      </c>
      <c r="Z40" s="284"/>
      <c r="AA40" s="284"/>
      <c r="AB40" s="284"/>
      <c r="AC40" s="284"/>
      <c r="AD40" s="284"/>
      <c r="AE40" s="284"/>
      <c r="AF40" s="284"/>
      <c r="AG40" s="284"/>
      <c r="AH40" s="284"/>
      <c r="AI40" s="284"/>
      <c r="AJ40" s="284"/>
      <c r="AK40" s="284"/>
      <c r="AL40" s="4"/>
      <c r="AN40" s="33">
        <v>0</v>
      </c>
      <c r="BC40" s="43" t="str">
        <f t="shared" si="0"/>
        <v>II = Wohnen EFHmrenoz</v>
      </c>
      <c r="BD40" s="43" t="s">
        <v>271</v>
      </c>
      <c r="BE40" s="56" t="s">
        <v>8</v>
      </c>
      <c r="BF40" s="33" t="s">
        <v>313</v>
      </c>
      <c r="BG40" s="33" t="s">
        <v>381</v>
      </c>
      <c r="BH40" s="33">
        <v>0.25</v>
      </c>
      <c r="BI40" s="33">
        <v>0.28000000000000003</v>
      </c>
    </row>
    <row r="41" spans="1:61" ht="15" customHeight="1" x14ac:dyDescent="0.25">
      <c r="A41" s="4"/>
      <c r="B41" s="4"/>
      <c r="C41" s="4"/>
      <c r="D41" s="4"/>
      <c r="E41" s="4"/>
      <c r="F41" s="4"/>
      <c r="G41" s="4"/>
      <c r="H41" s="4"/>
      <c r="I41" s="4"/>
      <c r="J41" s="4"/>
      <c r="K41" s="4"/>
      <c r="L41" s="4"/>
      <c r="M41" s="4"/>
      <c r="O41" s="4"/>
      <c r="P41" s="4"/>
      <c r="Q41" s="4"/>
      <c r="R41" s="4"/>
      <c r="S41" s="4"/>
      <c r="T41" s="4"/>
      <c r="U41" s="4"/>
      <c r="V41" s="4"/>
      <c r="W41" s="4"/>
      <c r="X41" s="4"/>
      <c r="Y41" s="42"/>
      <c r="Z41" s="42"/>
      <c r="AA41" s="42"/>
      <c r="AB41" s="42"/>
      <c r="AC41" s="42"/>
      <c r="AD41" s="42"/>
      <c r="AE41" s="42"/>
      <c r="AF41" s="42"/>
      <c r="AG41" s="42"/>
      <c r="AH41" s="42"/>
      <c r="AI41" s="42"/>
      <c r="AJ41" s="42"/>
      <c r="AK41" s="42"/>
      <c r="AL41" s="4"/>
      <c r="BC41" s="43" t="str">
        <f t="shared" si="0"/>
        <v>II = Wohnen EFHsrenoz</v>
      </c>
      <c r="BD41" s="43" t="s">
        <v>271</v>
      </c>
      <c r="BE41" s="56" t="s">
        <v>11</v>
      </c>
      <c r="BF41" s="33" t="s">
        <v>313</v>
      </c>
      <c r="BG41" s="33" t="s">
        <v>381</v>
      </c>
      <c r="BH41" s="33">
        <v>0.25</v>
      </c>
      <c r="BI41" s="33">
        <v>0.28000000000000003</v>
      </c>
    </row>
    <row r="42" spans="1:61" ht="15" customHeight="1" x14ac:dyDescent="0.25">
      <c r="A42" s="4"/>
      <c r="B42" s="39" t="s">
        <v>250</v>
      </c>
      <c r="C42" s="4"/>
      <c r="D42" s="4"/>
      <c r="E42" s="4"/>
      <c r="F42" s="4"/>
      <c r="G42" s="4"/>
      <c r="H42" s="36"/>
      <c r="I42" s="4" t="s">
        <v>251</v>
      </c>
      <c r="J42" s="4"/>
      <c r="K42" s="4"/>
      <c r="L42" s="4"/>
      <c r="M42" s="4"/>
      <c r="N42" s="4"/>
      <c r="O42" s="4"/>
      <c r="P42" s="4"/>
      <c r="Q42" s="4"/>
      <c r="R42" s="4"/>
      <c r="S42" s="4"/>
      <c r="T42" s="4"/>
      <c r="U42" s="4"/>
      <c r="V42" s="4"/>
      <c r="W42" s="4"/>
      <c r="X42" s="4"/>
      <c r="Y42" s="40"/>
      <c r="Z42" s="40"/>
      <c r="AA42" s="40"/>
      <c r="AB42" s="40"/>
      <c r="AC42" s="40"/>
      <c r="AD42" s="40"/>
      <c r="AE42" s="40"/>
      <c r="AF42" s="40"/>
      <c r="AG42" s="40"/>
      <c r="AH42" s="40"/>
      <c r="AI42" s="40"/>
      <c r="AJ42" s="40"/>
      <c r="AK42" s="40"/>
      <c r="AL42" s="4"/>
      <c r="BC42" s="43" t="str">
        <f t="shared" si="0"/>
        <v>II = Wohnen EFHfenrenoz</v>
      </c>
      <c r="BD42" s="43" t="s">
        <v>271</v>
      </c>
      <c r="BE42" s="56" t="s">
        <v>12</v>
      </c>
      <c r="BF42" s="33" t="s">
        <v>313</v>
      </c>
      <c r="BG42" s="33" t="s">
        <v>381</v>
      </c>
      <c r="BH42" s="33">
        <v>1</v>
      </c>
      <c r="BI42" s="33">
        <v>1.3</v>
      </c>
    </row>
    <row r="43" spans="1:61" ht="15" customHeight="1" x14ac:dyDescent="0.25">
      <c r="A43" s="4"/>
      <c r="B43" s="4"/>
      <c r="C43" s="4"/>
      <c r="D43" s="4"/>
      <c r="E43" s="4"/>
      <c r="F43" s="4"/>
      <c r="G43" s="4"/>
      <c r="H43" s="36"/>
      <c r="I43" s="4" t="s">
        <v>252</v>
      </c>
      <c r="J43" s="4"/>
      <c r="K43" s="4"/>
      <c r="L43" s="36"/>
      <c r="M43" s="4" t="s">
        <v>253</v>
      </c>
      <c r="N43" s="4"/>
      <c r="O43" s="4"/>
      <c r="P43" s="4"/>
      <c r="Q43" s="4"/>
      <c r="R43" s="4"/>
      <c r="S43" s="4"/>
      <c r="T43" s="4"/>
      <c r="U43" s="4"/>
      <c r="V43" s="4"/>
      <c r="W43" s="4"/>
      <c r="X43" s="4"/>
      <c r="Y43" s="4"/>
      <c r="Z43" s="4"/>
      <c r="AA43" s="4"/>
      <c r="AB43" s="4"/>
      <c r="AC43" s="4"/>
      <c r="AD43" s="4"/>
      <c r="AE43" s="4"/>
      <c r="AF43" s="4"/>
      <c r="AG43" s="4"/>
      <c r="AH43" s="4"/>
      <c r="AI43" s="4"/>
      <c r="AJ43" s="4"/>
      <c r="AK43" s="4"/>
      <c r="AL43" s="4"/>
      <c r="AN43" s="33">
        <v>0</v>
      </c>
      <c r="BC43" s="43" t="str">
        <f t="shared" si="0"/>
        <v>II = Wohnen EFHportesrenoz</v>
      </c>
      <c r="BD43" s="43" t="s">
        <v>271</v>
      </c>
      <c r="BE43" s="56" t="s">
        <v>15</v>
      </c>
      <c r="BF43" s="33" t="s">
        <v>313</v>
      </c>
      <c r="BG43" s="33" t="s">
        <v>381</v>
      </c>
      <c r="BH43" s="33">
        <v>1.2</v>
      </c>
      <c r="BI43" s="33">
        <v>1.5</v>
      </c>
    </row>
    <row r="44" spans="1:61" ht="15" customHeight="1" x14ac:dyDescent="0.25">
      <c r="A44" s="4"/>
      <c r="B44" s="4"/>
      <c r="C44" s="4"/>
      <c r="D44" s="4"/>
      <c r="E44" s="4"/>
      <c r="F44" s="4"/>
      <c r="G44" s="4"/>
      <c r="H44" s="4"/>
      <c r="I44" s="4"/>
      <c r="J44" s="4"/>
      <c r="K44" s="4"/>
      <c r="L44" s="36"/>
      <c r="M44" s="4" t="s">
        <v>254</v>
      </c>
      <c r="N44" s="4"/>
      <c r="O44" s="4"/>
      <c r="P44" s="4"/>
      <c r="Q44" s="4"/>
      <c r="R44" s="4"/>
      <c r="S44" s="4"/>
      <c r="T44" s="4"/>
      <c r="U44" s="4" t="s">
        <v>249</v>
      </c>
      <c r="V44" s="4"/>
      <c r="W44" s="4"/>
      <c r="X44" s="4"/>
      <c r="Y44" s="284" t="s">
        <v>257</v>
      </c>
      <c r="Z44" s="284"/>
      <c r="AA44" s="284"/>
      <c r="AB44" s="284"/>
      <c r="AC44" s="284"/>
      <c r="AD44" s="284"/>
      <c r="AE44" s="284"/>
      <c r="AF44" s="284"/>
      <c r="AG44" s="284"/>
      <c r="AH44" s="284"/>
      <c r="AI44" s="284"/>
      <c r="AJ44" s="284"/>
      <c r="AK44" s="284"/>
      <c r="AL44" s="4"/>
      <c r="AN44" s="33" t="b">
        <v>0</v>
      </c>
      <c r="BC44" s="43" t="str">
        <f t="shared" si="0"/>
        <v>II = Wohnen EFHp343renoz</v>
      </c>
      <c r="BD44" s="43" t="s">
        <v>271</v>
      </c>
      <c r="BE44" s="56" t="s">
        <v>16</v>
      </c>
      <c r="BF44" s="33" t="s">
        <v>313</v>
      </c>
      <c r="BG44" s="33" t="s">
        <v>381</v>
      </c>
      <c r="BH44" s="33">
        <v>1.7</v>
      </c>
      <c r="BI44" s="33">
        <v>2</v>
      </c>
    </row>
    <row r="45" spans="1:61" ht="20.100000000000001" customHeight="1" thickBot="1" x14ac:dyDescent="0.3">
      <c r="A45" s="4"/>
      <c r="B45" s="6"/>
      <c r="C45" s="6"/>
      <c r="D45" s="6"/>
      <c r="E45" s="6"/>
      <c r="F45" s="6"/>
      <c r="G45" s="6"/>
      <c r="H45" s="6"/>
      <c r="I45" s="6"/>
      <c r="J45" s="6"/>
      <c r="K45" s="6"/>
      <c r="L45" s="6"/>
      <c r="M45" s="6"/>
      <c r="N45" s="6"/>
      <c r="O45" s="6"/>
      <c r="P45" s="6"/>
      <c r="Q45" s="6"/>
      <c r="R45" s="6"/>
      <c r="S45" s="6"/>
      <c r="T45" s="6"/>
      <c r="U45" s="6"/>
      <c r="V45" s="6"/>
      <c r="W45" s="6"/>
      <c r="X45" s="6"/>
      <c r="Y45" s="41"/>
      <c r="Z45" s="41"/>
      <c r="AA45" s="41"/>
      <c r="AB45" s="41"/>
      <c r="AC45" s="41"/>
      <c r="AD45" s="41"/>
      <c r="AE45" s="41"/>
      <c r="AF45" s="41"/>
      <c r="AG45" s="41"/>
      <c r="AH45" s="41"/>
      <c r="AI45" s="41"/>
      <c r="AJ45" s="41"/>
      <c r="AK45" s="71" t="str">
        <f>IF(AND(AN43=2,AN44=TRUE,Y44=U166),"EN-VS-104 und EN-VS-110 anzugeben","")</f>
        <v/>
      </c>
      <c r="AL45" s="4"/>
      <c r="BC45" s="43" t="str">
        <f t="shared" si="0"/>
        <v>II = Wohnen EFHstoresrenoz</v>
      </c>
      <c r="BD45" s="43" t="s">
        <v>271</v>
      </c>
      <c r="BE45" s="56" t="s">
        <v>19</v>
      </c>
      <c r="BF45" s="33" t="s">
        <v>313</v>
      </c>
      <c r="BG45" s="33" t="s">
        <v>381</v>
      </c>
      <c r="BH45" s="33">
        <v>0.5</v>
      </c>
      <c r="BI45" s="33">
        <v>0.5</v>
      </c>
    </row>
    <row r="46" spans="1:61" ht="15" customHeight="1" x14ac:dyDescent="0.25">
      <c r="A46" s="4"/>
      <c r="B46" s="283" t="s">
        <v>289</v>
      </c>
      <c r="C46" s="283"/>
      <c r="D46" s="283"/>
      <c r="E46" s="283"/>
      <c r="F46" s="283"/>
      <c r="G46" s="283"/>
      <c r="H46" s="283"/>
      <c r="I46" s="283"/>
      <c r="J46" s="283"/>
      <c r="K46" s="283"/>
      <c r="L46" s="283"/>
      <c r="M46" s="283"/>
      <c r="N46" s="4"/>
      <c r="O46" s="4"/>
      <c r="P46" s="63" t="str">
        <f>IF(AQ14=TRUE,"NEU (Neubau oder Erwarterung)",IF(AR14=TRUE,"RENOVIERUNG (Umbau oder Umnutzung)","Bitte zuerst ''Art des Vorhabens'' wählen, ganz oben"))</f>
        <v>RENOVIERUNG (Umbau oder Umnutzung)</v>
      </c>
      <c r="Q46" s="4"/>
      <c r="R46" s="4"/>
      <c r="S46" s="4"/>
      <c r="T46" s="4"/>
      <c r="U46" s="4"/>
      <c r="V46" s="4"/>
      <c r="W46" s="4"/>
      <c r="X46" s="4"/>
      <c r="Y46" s="4"/>
      <c r="Z46" s="4"/>
      <c r="AA46" s="4"/>
      <c r="AB46" s="4"/>
      <c r="AC46" s="4"/>
      <c r="AD46" s="4"/>
      <c r="AE46" s="4"/>
      <c r="AF46" s="4"/>
      <c r="AG46" s="4"/>
      <c r="AH46" s="4"/>
      <c r="AI46" s="4"/>
      <c r="AJ46" s="4"/>
      <c r="AK46" s="4"/>
      <c r="AL46" s="4"/>
      <c r="BC46" s="43" t="str">
        <f t="shared" si="0"/>
        <v>III = Verwaltungtpneuz</v>
      </c>
      <c r="BD46" s="43" t="s">
        <v>272</v>
      </c>
      <c r="BE46" s="56" t="s">
        <v>5</v>
      </c>
      <c r="BF46" s="33" t="s">
        <v>312</v>
      </c>
      <c r="BG46" s="33" t="s">
        <v>381</v>
      </c>
      <c r="BH46" s="33">
        <v>0.17</v>
      </c>
      <c r="BI46" s="33">
        <v>0.25</v>
      </c>
    </row>
    <row r="47" spans="1:61" ht="15" customHeight="1" x14ac:dyDescent="0.25">
      <c r="A47" s="4"/>
      <c r="B47" s="4" t="s">
        <v>290</v>
      </c>
      <c r="C47" s="4"/>
      <c r="D47" s="4"/>
      <c r="E47" s="4"/>
      <c r="F47" s="4"/>
      <c r="G47" s="4"/>
      <c r="H47" s="4"/>
      <c r="I47" s="4"/>
      <c r="J47" s="4"/>
      <c r="K47" s="4"/>
      <c r="L47" s="4"/>
      <c r="M47" s="4"/>
      <c r="N47" s="91"/>
      <c r="O47" s="279" t="s">
        <v>257</v>
      </c>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4"/>
      <c r="AN47" s="33">
        <f>IF(P46="Sélectionner d'abbord la 'nature des travaux' plus haut",0,1)</f>
        <v>1</v>
      </c>
      <c r="BC47" s="43" t="str">
        <f>BD47&amp;BE47&amp;BF47&amp;BG47</f>
        <v>III = Verwaltungmneuz</v>
      </c>
      <c r="BD47" s="43" t="s">
        <v>272</v>
      </c>
      <c r="BE47" s="56" t="s">
        <v>8</v>
      </c>
      <c r="BF47" s="33" t="s">
        <v>312</v>
      </c>
      <c r="BG47" s="33" t="s">
        <v>381</v>
      </c>
      <c r="BH47" s="33">
        <v>0.17</v>
      </c>
      <c r="BI47" s="33">
        <v>0.25</v>
      </c>
    </row>
    <row r="48" spans="1:61" ht="15" customHeight="1" x14ac:dyDescent="0.25">
      <c r="A48" s="4"/>
      <c r="B48" s="4" t="s">
        <v>291</v>
      </c>
      <c r="C48" s="4"/>
      <c r="D48" s="4"/>
      <c r="E48" s="4"/>
      <c r="F48" s="4"/>
      <c r="G48" s="4"/>
      <c r="H48" s="4"/>
      <c r="I48" s="4"/>
      <c r="J48" s="4"/>
      <c r="K48" s="4"/>
      <c r="L48" s="4"/>
      <c r="M48" s="4"/>
      <c r="N48" s="4"/>
      <c r="O48" s="232" t="s">
        <v>257</v>
      </c>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4"/>
      <c r="AN48" s="33">
        <f>VLOOKUP(O48,U130:AK144,17,FALSE)</f>
        <v>0</v>
      </c>
      <c r="BC48" s="43" t="str">
        <f>BD48&amp;BE48&amp;BF48&amp;BG48</f>
        <v>III = Verwaltungsneuz</v>
      </c>
      <c r="BD48" s="43" t="s">
        <v>272</v>
      </c>
      <c r="BE48" s="56" t="s">
        <v>11</v>
      </c>
      <c r="BF48" s="33" t="s">
        <v>312</v>
      </c>
      <c r="BG48" s="33" t="s">
        <v>381</v>
      </c>
      <c r="BH48" s="33">
        <v>0.17</v>
      </c>
      <c r="BI48" s="33">
        <v>0.25</v>
      </c>
    </row>
    <row r="49" spans="1:82" ht="15" customHeight="1" x14ac:dyDescent="0.25">
      <c r="A49" s="4"/>
      <c r="B49" s="4"/>
      <c r="C49" s="4"/>
      <c r="D49" s="4"/>
      <c r="E49" s="4"/>
      <c r="F49" s="4"/>
      <c r="G49" s="35" t="str">
        <f>IF(OR(AN48="ssa",AN48="ssb",AN48="ssc"),"Wirkungsgrad des Wärmerückgewinnw des Lüftungsanlage min. 80% für StdLsg Nr.1 / fossile Energie max. 25%","")</f>
        <v/>
      </c>
      <c r="H49" s="4"/>
      <c r="I49" s="4"/>
      <c r="J49" s="4"/>
      <c r="K49" s="4"/>
      <c r="L49" s="4"/>
      <c r="N49" s="4"/>
      <c r="O49" s="4"/>
      <c r="P49" s="4"/>
      <c r="Q49" s="4"/>
      <c r="R49" s="4"/>
      <c r="S49" s="4"/>
      <c r="T49" s="4"/>
      <c r="U49" s="4"/>
      <c r="V49" s="4"/>
      <c r="W49" s="4"/>
      <c r="X49" s="4"/>
      <c r="Y49" s="4"/>
      <c r="Z49" s="4"/>
      <c r="AA49" s="4"/>
      <c r="AB49" s="4"/>
      <c r="AC49" s="4"/>
      <c r="AD49" s="4"/>
      <c r="AE49" s="4"/>
      <c r="AF49" s="4"/>
      <c r="AG49" s="4"/>
      <c r="AH49" s="4"/>
      <c r="AI49" s="4"/>
      <c r="AJ49" s="4"/>
      <c r="AK49" s="4"/>
      <c r="AL49" s="4"/>
      <c r="BC49" s="43" t="str">
        <f t="shared" si="0"/>
        <v>III = Verwaltungfenneuz</v>
      </c>
      <c r="BD49" s="43" t="s">
        <v>272</v>
      </c>
      <c r="BE49" s="56" t="s">
        <v>12</v>
      </c>
      <c r="BF49" s="33" t="s">
        <v>312</v>
      </c>
      <c r="BG49" s="33" t="s">
        <v>381</v>
      </c>
      <c r="BH49" s="33" t="s">
        <v>145</v>
      </c>
      <c r="BI49" s="33" t="s">
        <v>146</v>
      </c>
    </row>
    <row r="50" spans="1:82" ht="15" customHeight="1" x14ac:dyDescent="0.25">
      <c r="A50" s="4"/>
      <c r="B50" s="273" t="s">
        <v>293</v>
      </c>
      <c r="C50" s="274"/>
      <c r="D50" s="274"/>
      <c r="E50" s="274"/>
      <c r="F50" s="274"/>
      <c r="G50" s="274"/>
      <c r="H50" s="274"/>
      <c r="I50" s="274"/>
      <c r="J50" s="274"/>
      <c r="K50" s="275"/>
      <c r="L50" s="301" t="s">
        <v>306</v>
      </c>
      <c r="M50" s="174"/>
      <c r="N50" s="174"/>
      <c r="O50" s="174"/>
      <c r="P50" s="174"/>
      <c r="Q50" s="174"/>
      <c r="R50" s="174"/>
      <c r="S50" s="174"/>
      <c r="T50" s="174"/>
      <c r="U50" s="174"/>
      <c r="V50" s="174"/>
      <c r="W50" s="175"/>
      <c r="X50" s="301" t="s">
        <v>358</v>
      </c>
      <c r="Y50" s="174"/>
      <c r="Z50" s="174"/>
      <c r="AA50" s="174"/>
      <c r="AB50" s="174"/>
      <c r="AC50" s="174"/>
      <c r="AD50" s="174"/>
      <c r="AE50" s="174"/>
      <c r="AF50" s="174"/>
      <c r="AG50" s="174"/>
      <c r="AH50" s="174"/>
      <c r="AI50" s="174"/>
      <c r="AJ50" s="175"/>
      <c r="AK50" s="4"/>
      <c r="AL50" s="4"/>
      <c r="BC50" s="43" t="str">
        <f t="shared" si="0"/>
        <v>III = Verwaltungportesneuz</v>
      </c>
      <c r="BD50" s="43" t="s">
        <v>272</v>
      </c>
      <c r="BE50" s="56" t="s">
        <v>15</v>
      </c>
      <c r="BF50" s="33" t="s">
        <v>312</v>
      </c>
      <c r="BG50" s="33" t="s">
        <v>381</v>
      </c>
      <c r="BH50" s="33">
        <v>1.2</v>
      </c>
      <c r="BI50" s="33">
        <v>1.5</v>
      </c>
    </row>
    <row r="51" spans="1:82" ht="15" customHeight="1" x14ac:dyDescent="0.25">
      <c r="A51" s="4"/>
      <c r="B51" s="280" t="s">
        <v>294</v>
      </c>
      <c r="C51" s="281"/>
      <c r="D51" s="281"/>
      <c r="E51" s="281"/>
      <c r="F51" s="281"/>
      <c r="G51" s="281"/>
      <c r="H51" s="281"/>
      <c r="I51" s="281"/>
      <c r="J51" s="281"/>
      <c r="K51" s="282"/>
      <c r="L51" s="179"/>
      <c r="M51" s="180"/>
      <c r="N51" s="180"/>
      <c r="O51" s="180"/>
      <c r="P51" s="180"/>
      <c r="Q51" s="180"/>
      <c r="R51" s="180"/>
      <c r="S51" s="180"/>
      <c r="T51" s="180"/>
      <c r="U51" s="180"/>
      <c r="V51" s="180"/>
      <c r="W51" s="181"/>
      <c r="X51" s="179"/>
      <c r="Y51" s="180"/>
      <c r="Z51" s="177"/>
      <c r="AA51" s="177"/>
      <c r="AB51" s="177"/>
      <c r="AC51" s="177"/>
      <c r="AD51" s="177"/>
      <c r="AE51" s="177"/>
      <c r="AF51" s="177"/>
      <c r="AG51" s="177"/>
      <c r="AH51" s="177"/>
      <c r="AI51" s="177"/>
      <c r="AJ51" s="178"/>
      <c r="AK51" s="4"/>
      <c r="AL51" s="4"/>
      <c r="BC51" s="43" t="str">
        <f t="shared" si="0"/>
        <v>III = Verwaltungp343neuz</v>
      </c>
      <c r="BD51" s="43" t="s">
        <v>272</v>
      </c>
      <c r="BE51" s="56" t="s">
        <v>16</v>
      </c>
      <c r="BF51" s="33" t="s">
        <v>312</v>
      </c>
      <c r="BG51" s="33" t="s">
        <v>381</v>
      </c>
      <c r="BH51" s="33">
        <v>1.7</v>
      </c>
      <c r="BI51" s="33">
        <v>2</v>
      </c>
    </row>
    <row r="52" spans="1:82" ht="15" customHeight="1" x14ac:dyDescent="0.25">
      <c r="A52" s="4"/>
      <c r="B52" s="302" t="s">
        <v>295</v>
      </c>
      <c r="C52" s="274"/>
      <c r="D52" s="274"/>
      <c r="E52" s="274"/>
      <c r="F52" s="274"/>
      <c r="G52" s="274"/>
      <c r="H52" s="274"/>
      <c r="I52" s="274"/>
      <c r="J52" s="274"/>
      <c r="K52" s="275"/>
      <c r="L52" s="173" t="s">
        <v>304</v>
      </c>
      <c r="M52" s="175"/>
      <c r="N52" s="14"/>
      <c r="O52" s="88" t="s">
        <v>307</v>
      </c>
      <c r="P52" s="16"/>
      <c r="Q52" s="14"/>
      <c r="R52" s="88" t="s">
        <v>308</v>
      </c>
      <c r="S52" s="16"/>
      <c r="T52" s="173" t="s">
        <v>309</v>
      </c>
      <c r="U52" s="174"/>
      <c r="V52" s="174"/>
      <c r="W52" s="175"/>
      <c r="X52" s="173" t="s">
        <v>305</v>
      </c>
      <c r="Y52" s="174"/>
      <c r="Z52" s="173" t="s">
        <v>307</v>
      </c>
      <c r="AA52" s="174"/>
      <c r="AB52" s="175"/>
      <c r="AC52" s="173" t="s">
        <v>308</v>
      </c>
      <c r="AD52" s="174"/>
      <c r="AE52" s="174"/>
      <c r="AF52" s="173" t="s">
        <v>309</v>
      </c>
      <c r="AG52" s="174"/>
      <c r="AH52" s="174"/>
      <c r="AI52" s="174"/>
      <c r="AJ52" s="175"/>
      <c r="AK52" s="4"/>
      <c r="AL52" s="4"/>
      <c r="BC52" s="43" t="str">
        <f t="shared" si="0"/>
        <v>III = Verwaltungstoresneuz</v>
      </c>
      <c r="BD52" s="43" t="s">
        <v>272</v>
      </c>
      <c r="BE52" s="56" t="s">
        <v>19</v>
      </c>
      <c r="BF52" s="33" t="s">
        <v>312</v>
      </c>
      <c r="BG52" s="33" t="s">
        <v>381</v>
      </c>
      <c r="BH52" s="33">
        <v>0.5</v>
      </c>
      <c r="BI52" s="33">
        <v>0.5</v>
      </c>
    </row>
    <row r="53" spans="1:82" ht="15" customHeight="1" x14ac:dyDescent="0.25">
      <c r="A53" s="4"/>
      <c r="B53" s="276"/>
      <c r="C53" s="277"/>
      <c r="D53" s="277"/>
      <c r="E53" s="277"/>
      <c r="F53" s="277"/>
      <c r="G53" s="277"/>
      <c r="H53" s="277"/>
      <c r="I53" s="277"/>
      <c r="J53" s="277"/>
      <c r="K53" s="278"/>
      <c r="L53" s="179"/>
      <c r="M53" s="181"/>
      <c r="N53" s="179" t="s">
        <v>55</v>
      </c>
      <c r="O53" s="180"/>
      <c r="P53" s="181"/>
      <c r="Q53" s="179" t="s">
        <v>56</v>
      </c>
      <c r="R53" s="180"/>
      <c r="S53" s="181"/>
      <c r="T53" s="179" t="s">
        <v>56</v>
      </c>
      <c r="U53" s="180"/>
      <c r="V53" s="180"/>
      <c r="W53" s="181"/>
      <c r="X53" s="179"/>
      <c r="Y53" s="180"/>
      <c r="Z53" s="179" t="s">
        <v>55</v>
      </c>
      <c r="AA53" s="180"/>
      <c r="AB53" s="181"/>
      <c r="AC53" s="179" t="s">
        <v>56</v>
      </c>
      <c r="AD53" s="180"/>
      <c r="AE53" s="180"/>
      <c r="AF53" s="179" t="s">
        <v>56</v>
      </c>
      <c r="AG53" s="180"/>
      <c r="AH53" s="180"/>
      <c r="AI53" s="180"/>
      <c r="AJ53" s="181"/>
      <c r="AK53" s="4"/>
      <c r="AL53" s="4"/>
      <c r="BC53" s="43" t="str">
        <f t="shared" si="0"/>
        <v>III = Verwaltungtprenoz</v>
      </c>
      <c r="BD53" s="43" t="s">
        <v>272</v>
      </c>
      <c r="BE53" s="56" t="s">
        <v>5</v>
      </c>
      <c r="BF53" s="33" t="s">
        <v>313</v>
      </c>
      <c r="BG53" s="33" t="s">
        <v>381</v>
      </c>
      <c r="BH53" s="33">
        <v>0.25</v>
      </c>
      <c r="BI53" s="33">
        <v>0.28000000000000003</v>
      </c>
    </row>
    <row r="54" spans="1:82" ht="15" customHeight="1" x14ac:dyDescent="0.25">
      <c r="A54" s="4"/>
      <c r="B54" s="228" t="s">
        <v>296</v>
      </c>
      <c r="C54" s="229"/>
      <c r="D54" s="229"/>
      <c r="E54" s="229"/>
      <c r="F54" s="229"/>
      <c r="G54" s="229"/>
      <c r="H54" s="229"/>
      <c r="I54" s="229"/>
      <c r="J54" s="229"/>
      <c r="K54" s="230"/>
      <c r="L54" s="231"/>
      <c r="M54" s="272"/>
      <c r="N54" s="233"/>
      <c r="O54" s="234"/>
      <c r="P54" s="235"/>
      <c r="Q54" s="233"/>
      <c r="R54" s="234"/>
      <c r="S54" s="235"/>
      <c r="T54" s="212" t="str">
        <f>IFERROR(IF($AQ$14=TRUE,VLOOKUP($O$47&amp;"tp"&amp;"Neu"&amp;$AN$48,BC:BI,6,FALSE),(VLOOKUP($O$47&amp;"tp"&amp;"Reno"&amp;$AN$48,BC:BI,6,FALSE))),AN57)</f>
        <v>gemäss Wahl</v>
      </c>
      <c r="U54" s="213"/>
      <c r="V54" s="213"/>
      <c r="W54" s="214"/>
      <c r="X54" s="236"/>
      <c r="Y54" s="237"/>
      <c r="Z54" s="209"/>
      <c r="AA54" s="210"/>
      <c r="AB54" s="211"/>
      <c r="AC54" s="209"/>
      <c r="AD54" s="210"/>
      <c r="AE54" s="211"/>
      <c r="AF54" s="212" t="str">
        <f>IFERROR(IF($AQ$14=TRUE,VLOOKUP($O$47&amp;"tp"&amp;"Neu"&amp;$AN$48,BC:BI,7,FALSE),(VLOOKUP($O$47&amp;"tp"&amp;"Reno"&amp;$AN$48,BC:BI,7,FALSE))),AN57)</f>
        <v>gemäss Wahl</v>
      </c>
      <c r="AG54" s="213"/>
      <c r="AH54" s="213"/>
      <c r="AI54" s="213"/>
      <c r="AJ54" s="214"/>
      <c r="AK54" s="4"/>
      <c r="AL54" s="4"/>
      <c r="BC54" s="43" t="str">
        <f>BD54&amp;BE54&amp;BF54&amp;BG54</f>
        <v>III = Verwaltungmrenoz</v>
      </c>
      <c r="BD54" s="43" t="s">
        <v>272</v>
      </c>
      <c r="BE54" s="56" t="s">
        <v>8</v>
      </c>
      <c r="BF54" s="33" t="s">
        <v>313</v>
      </c>
      <c r="BG54" s="33" t="s">
        <v>381</v>
      </c>
      <c r="BH54" s="33">
        <v>0.25</v>
      </c>
      <c r="BI54" s="33">
        <v>0.28000000000000003</v>
      </c>
    </row>
    <row r="55" spans="1:82" ht="15" customHeight="1" x14ac:dyDescent="0.25">
      <c r="A55" s="4"/>
      <c r="B55" s="228" t="s">
        <v>296</v>
      </c>
      <c r="C55" s="229"/>
      <c r="D55" s="229"/>
      <c r="E55" s="229"/>
      <c r="F55" s="229"/>
      <c r="G55" s="229"/>
      <c r="H55" s="229"/>
      <c r="I55" s="229"/>
      <c r="J55" s="229"/>
      <c r="K55" s="230"/>
      <c r="L55" s="231"/>
      <c r="M55" s="272"/>
      <c r="N55" s="233"/>
      <c r="O55" s="234"/>
      <c r="P55" s="235"/>
      <c r="Q55" s="233"/>
      <c r="R55" s="234"/>
      <c r="S55" s="235"/>
      <c r="T55" s="212" t="str">
        <f>IFERROR(IF($AQ$14=TRUE,VLOOKUP($O$47&amp;"tp"&amp;"Neu"&amp;$AN$48,BC:BI,6,FALSE),(VLOOKUP($O$47&amp;"tp"&amp;"Reno"&amp;$AN$48,BC:BI,6,FALSE))),AN57)</f>
        <v>gemäss Wahl</v>
      </c>
      <c r="U55" s="213"/>
      <c r="V55" s="213"/>
      <c r="W55" s="214"/>
      <c r="X55" s="236"/>
      <c r="Y55" s="237"/>
      <c r="Z55" s="209"/>
      <c r="AA55" s="210"/>
      <c r="AB55" s="211"/>
      <c r="AC55" s="209"/>
      <c r="AD55" s="210"/>
      <c r="AE55" s="211"/>
      <c r="AF55" s="212" t="str">
        <f>IFERROR(IF($AQ$14=TRUE,VLOOKUP($O$47&amp;"tp"&amp;"Neu"&amp;$AN$48,BC:BI,7,FALSE),(VLOOKUP($O$47&amp;"tp"&amp;"Reno"&amp;$AN$48,BC:BI,7,FALSE))),AN57)</f>
        <v>gemäss Wahl</v>
      </c>
      <c r="AG55" s="213"/>
      <c r="AH55" s="213"/>
      <c r="AI55" s="213"/>
      <c r="AJ55" s="214"/>
      <c r="AK55" s="4"/>
      <c r="AL55" s="4"/>
      <c r="BC55" s="43" t="str">
        <f>BD55&amp;BE55&amp;BF55&amp;BG55</f>
        <v>III = Verwaltungsrenoz</v>
      </c>
      <c r="BD55" s="43" t="s">
        <v>272</v>
      </c>
      <c r="BE55" s="56" t="s">
        <v>11</v>
      </c>
      <c r="BF55" s="33" t="s">
        <v>313</v>
      </c>
      <c r="BG55" s="33" t="s">
        <v>381</v>
      </c>
      <c r="BH55" s="33">
        <v>0.25</v>
      </c>
      <c r="BI55" s="33">
        <v>0.28000000000000003</v>
      </c>
    </row>
    <row r="56" spans="1:82" ht="15" customHeight="1" x14ac:dyDescent="0.25">
      <c r="A56" s="4"/>
      <c r="B56" s="228" t="s">
        <v>297</v>
      </c>
      <c r="C56" s="229"/>
      <c r="D56" s="229"/>
      <c r="E56" s="229"/>
      <c r="F56" s="229"/>
      <c r="G56" s="229"/>
      <c r="H56" s="229"/>
      <c r="I56" s="229"/>
      <c r="J56" s="229"/>
      <c r="K56" s="230"/>
      <c r="L56" s="231"/>
      <c r="M56" s="272"/>
      <c r="N56" s="233"/>
      <c r="O56" s="234"/>
      <c r="P56" s="235"/>
      <c r="Q56" s="233"/>
      <c r="R56" s="234"/>
      <c r="S56" s="235"/>
      <c r="T56" s="212" t="str">
        <f>IFERROR(IF($AQ$14=TRUE,VLOOKUP($O$47&amp;"m"&amp;"Neu"&amp;$AN$48,BC:BI,6,FALSE),(VLOOKUP($O$47&amp;"m"&amp;"Reno"&amp;$AN$48,BC:BI,6,FALSE))),AN57)</f>
        <v>gemäss Wahl</v>
      </c>
      <c r="U56" s="213"/>
      <c r="V56" s="213"/>
      <c r="W56" s="214"/>
      <c r="X56" s="236"/>
      <c r="Y56" s="237"/>
      <c r="Z56" s="209"/>
      <c r="AA56" s="210"/>
      <c r="AB56" s="211"/>
      <c r="AC56" s="209"/>
      <c r="AD56" s="210"/>
      <c r="AE56" s="211"/>
      <c r="AF56" s="212" t="str">
        <f>IFERROR(IF($AQ$14=TRUE,VLOOKUP($O$47&amp;"m"&amp;"Neu"&amp;$AN$48,BC:BI,7,FALSE),(VLOOKUP($O$47&amp;"m"&amp;"Reno"&amp;$AN$48,BC:BI,7,FALSE))),AN57)</f>
        <v>gemäss Wahl</v>
      </c>
      <c r="AG56" s="213"/>
      <c r="AH56" s="213"/>
      <c r="AI56" s="213"/>
      <c r="AJ56" s="214"/>
      <c r="AK56" s="4"/>
      <c r="AL56" s="4"/>
      <c r="AN56" s="33" t="s">
        <v>121</v>
      </c>
      <c r="BC56" s="43" t="str">
        <f t="shared" si="0"/>
        <v>III = Verwaltungfenrenoz</v>
      </c>
      <c r="BD56" s="43" t="s">
        <v>272</v>
      </c>
      <c r="BE56" s="56" t="s">
        <v>12</v>
      </c>
      <c r="BF56" s="33" t="s">
        <v>313</v>
      </c>
      <c r="BG56" s="33" t="s">
        <v>381</v>
      </c>
      <c r="BH56" s="33" t="s">
        <v>145</v>
      </c>
      <c r="BI56" s="33" t="s">
        <v>146</v>
      </c>
    </row>
    <row r="57" spans="1:82" ht="15" customHeight="1" x14ac:dyDescent="0.25">
      <c r="A57" s="4"/>
      <c r="B57" s="228" t="s">
        <v>297</v>
      </c>
      <c r="C57" s="229"/>
      <c r="D57" s="229"/>
      <c r="E57" s="229"/>
      <c r="F57" s="229"/>
      <c r="G57" s="229"/>
      <c r="H57" s="229"/>
      <c r="I57" s="229"/>
      <c r="J57" s="229"/>
      <c r="K57" s="230"/>
      <c r="L57" s="231"/>
      <c r="M57" s="272"/>
      <c r="N57" s="233"/>
      <c r="O57" s="234"/>
      <c r="P57" s="235"/>
      <c r="Q57" s="233"/>
      <c r="R57" s="234"/>
      <c r="S57" s="235"/>
      <c r="T57" s="212" t="str">
        <f>IFERROR(IF($AQ$14=TRUE,VLOOKUP($O$47&amp;"m"&amp;"Neu"&amp;$AN$48,BC:BI,6,FALSE),(VLOOKUP($O$47&amp;"m"&amp;"Reno"&amp;$AN$48,BC:BI,6,FALSE))),AN57)</f>
        <v>gemäss Wahl</v>
      </c>
      <c r="U57" s="213"/>
      <c r="V57" s="213"/>
      <c r="W57" s="214"/>
      <c r="X57" s="236"/>
      <c r="Y57" s="237"/>
      <c r="Z57" s="209"/>
      <c r="AA57" s="210"/>
      <c r="AB57" s="211"/>
      <c r="AC57" s="209"/>
      <c r="AD57" s="210"/>
      <c r="AE57" s="211"/>
      <c r="AF57" s="212" t="str">
        <f>IFERROR(IF($AQ$14=TRUE,VLOOKUP($O$47&amp;"m"&amp;"Neu"&amp;$AN$48,BC:BI,7,FALSE),(VLOOKUP($O$47&amp;"m"&amp;"Reno"&amp;$AN$48,BC:BI,7,FALSE))),AN57)</f>
        <v>gemäss Wahl</v>
      </c>
      <c r="AG57" s="213"/>
      <c r="AH57" s="213"/>
      <c r="AI57" s="213"/>
      <c r="AJ57" s="214"/>
      <c r="AK57" s="4"/>
      <c r="AL57" s="4"/>
      <c r="AN57" s="33" t="s">
        <v>315</v>
      </c>
      <c r="BC57" s="43" t="str">
        <f t="shared" si="0"/>
        <v>III = Verwaltungportesrenoz</v>
      </c>
      <c r="BD57" s="43" t="s">
        <v>272</v>
      </c>
      <c r="BE57" s="56" t="s">
        <v>15</v>
      </c>
      <c r="BF57" s="33" t="s">
        <v>313</v>
      </c>
      <c r="BG57" s="33" t="s">
        <v>381</v>
      </c>
      <c r="BH57" s="33">
        <v>1.2</v>
      </c>
      <c r="BI57" s="33">
        <v>1.5</v>
      </c>
      <c r="CD57" s="56"/>
    </row>
    <row r="58" spans="1:82" ht="15" customHeight="1" x14ac:dyDescent="0.25">
      <c r="A58" s="4"/>
      <c r="B58" s="228" t="s">
        <v>298</v>
      </c>
      <c r="C58" s="229"/>
      <c r="D58" s="229"/>
      <c r="E58" s="229"/>
      <c r="F58" s="229"/>
      <c r="G58" s="229"/>
      <c r="H58" s="229"/>
      <c r="I58" s="229"/>
      <c r="J58" s="229"/>
      <c r="K58" s="230"/>
      <c r="L58" s="231"/>
      <c r="M58" s="272"/>
      <c r="N58" s="233"/>
      <c r="O58" s="234"/>
      <c r="P58" s="235"/>
      <c r="Q58" s="233"/>
      <c r="R58" s="234"/>
      <c r="S58" s="235"/>
      <c r="T58" s="212" t="str">
        <f>IFERROR(IF($AQ$14=TRUE,VLOOKUP($O$47&amp;"s"&amp;"Neu"&amp;$AN$48,BC:BI,6,FALSE),(VLOOKUP($O$47&amp;"s"&amp;"Reno"&amp;$AN$48,BC:BI,6,FALSE))),AN57)</f>
        <v>gemäss Wahl</v>
      </c>
      <c r="U58" s="213"/>
      <c r="V58" s="213"/>
      <c r="W58" s="214"/>
      <c r="X58" s="236"/>
      <c r="Y58" s="237"/>
      <c r="Z58" s="209"/>
      <c r="AA58" s="210"/>
      <c r="AB58" s="211"/>
      <c r="AC58" s="209"/>
      <c r="AD58" s="210"/>
      <c r="AE58" s="211"/>
      <c r="AF58" s="212" t="str">
        <f>IFERROR(IF($AQ$14=TRUE,VLOOKUP($O$47&amp;"s"&amp;"Neu"&amp;$AN$48,BC:BI,7,FALSE),(VLOOKUP($O$47&amp;"s"&amp;"Reno"&amp;$AN$48,BC:BI,7,FALSE))),AN57)</f>
        <v>gemäss Wahl</v>
      </c>
      <c r="AG58" s="213"/>
      <c r="AH58" s="213"/>
      <c r="AI58" s="213"/>
      <c r="AJ58" s="214"/>
      <c r="AK58" s="4"/>
      <c r="AL58" s="4"/>
      <c r="BC58" s="43" t="str">
        <f t="shared" si="0"/>
        <v>III = Verwaltungp343renoz</v>
      </c>
      <c r="BD58" s="43" t="s">
        <v>272</v>
      </c>
      <c r="BE58" s="56" t="s">
        <v>16</v>
      </c>
      <c r="BF58" s="33" t="s">
        <v>313</v>
      </c>
      <c r="BG58" s="33" t="s">
        <v>381</v>
      </c>
      <c r="BH58" s="33">
        <v>1.7</v>
      </c>
      <c r="BI58" s="33">
        <v>2</v>
      </c>
      <c r="CD58" s="56"/>
    </row>
    <row r="59" spans="1:82" ht="15" customHeight="1" thickBot="1" x14ac:dyDescent="0.3">
      <c r="A59" s="4"/>
      <c r="B59" s="215" t="s">
        <v>298</v>
      </c>
      <c r="C59" s="216"/>
      <c r="D59" s="216"/>
      <c r="E59" s="216"/>
      <c r="F59" s="216"/>
      <c r="G59" s="216"/>
      <c r="H59" s="216"/>
      <c r="I59" s="216"/>
      <c r="J59" s="216"/>
      <c r="K59" s="217"/>
      <c r="L59" s="218"/>
      <c r="M59" s="219"/>
      <c r="N59" s="220"/>
      <c r="O59" s="221"/>
      <c r="P59" s="222"/>
      <c r="Q59" s="220"/>
      <c r="R59" s="221"/>
      <c r="S59" s="222"/>
      <c r="T59" s="170" t="str">
        <f>IFERROR(IF($AQ$14=TRUE,VLOOKUP($O$47&amp;"s"&amp;"Neu"&amp;$AN$48,BC:BI,6,FALSE),(VLOOKUP($O$47&amp;"s"&amp;"Reno"&amp;$AN$48,BC:BI,6,FALSE))),AN57)</f>
        <v>gemäss Wahl</v>
      </c>
      <c r="U59" s="171"/>
      <c r="V59" s="171"/>
      <c r="W59" s="172"/>
      <c r="X59" s="223"/>
      <c r="Y59" s="224"/>
      <c r="Z59" s="225"/>
      <c r="AA59" s="226"/>
      <c r="AB59" s="227"/>
      <c r="AC59" s="225"/>
      <c r="AD59" s="226"/>
      <c r="AE59" s="227"/>
      <c r="AF59" s="170" t="str">
        <f>IFERROR(IF($AQ$14=TRUE,VLOOKUP($O$47&amp;"s"&amp;"Neu"&amp;$AN$48,BC:BI,7,FALSE),(VLOOKUP($O$47&amp;"s"&amp;"Reno"&amp;$AN$48,BC:BI,7,FALSE))),AN57)</f>
        <v>gemäss Wahl</v>
      </c>
      <c r="AG59" s="171"/>
      <c r="AH59" s="171"/>
      <c r="AI59" s="171"/>
      <c r="AJ59" s="172"/>
      <c r="AK59" s="4"/>
      <c r="AL59" s="4"/>
      <c r="BC59" s="43" t="str">
        <f t="shared" si="0"/>
        <v>III = Verwaltungstoresrenoz</v>
      </c>
      <c r="BD59" s="43" t="s">
        <v>272</v>
      </c>
      <c r="BE59" s="56" t="s">
        <v>19</v>
      </c>
      <c r="BF59" s="33" t="s">
        <v>313</v>
      </c>
      <c r="BG59" s="33" t="s">
        <v>381</v>
      </c>
      <c r="BH59" s="33">
        <v>0.5</v>
      </c>
      <c r="BI59" s="33">
        <v>0.5</v>
      </c>
      <c r="CD59" s="56"/>
    </row>
    <row r="60" spans="1:82" ht="15" customHeight="1" x14ac:dyDescent="0.25">
      <c r="A60" s="4"/>
      <c r="B60" s="259" t="s">
        <v>299</v>
      </c>
      <c r="C60" s="260"/>
      <c r="D60" s="260"/>
      <c r="E60" s="260"/>
      <c r="F60" s="260"/>
      <c r="G60" s="260"/>
      <c r="H60" s="260"/>
      <c r="I60" s="260"/>
      <c r="J60" s="260"/>
      <c r="K60" s="261"/>
      <c r="L60" s="262"/>
      <c r="M60" s="263"/>
      <c r="N60" s="264"/>
      <c r="O60" s="265"/>
      <c r="P60" s="266"/>
      <c r="Q60" s="264"/>
      <c r="R60" s="265"/>
      <c r="S60" s="266"/>
      <c r="T60" s="256" t="str">
        <f>IFERROR(IF($AQ$14=TRUE,VLOOKUP($O$47&amp;"p343"&amp;"Neu"&amp;$AN$48,BC:BI,6,FALSE),(VLOOKUP($O$47&amp;"p343"&amp;"Reno"&amp;$AN$48,BC:BI,6,FALSE))),AN57)</f>
        <v>gemäss Wahl</v>
      </c>
      <c r="U60" s="257"/>
      <c r="V60" s="257"/>
      <c r="W60" s="258"/>
      <c r="X60" s="267"/>
      <c r="Y60" s="268"/>
      <c r="Z60" s="269"/>
      <c r="AA60" s="270"/>
      <c r="AB60" s="271"/>
      <c r="AC60" s="269"/>
      <c r="AD60" s="270"/>
      <c r="AE60" s="271"/>
      <c r="AF60" s="256" t="str">
        <f>IFERROR(IF($AQ$14=TRUE,VLOOKUP($O$47&amp;"p343"&amp;"Neu"&amp;$AN$48,BC:BI,7,FALSE),(VLOOKUP($O$47&amp;"p343"&amp;"Reno"&amp;$AN$48,BC:BI,7,FALSE))),AN57)</f>
        <v>gemäss Wahl</v>
      </c>
      <c r="AG60" s="257"/>
      <c r="AH60" s="257"/>
      <c r="AI60" s="257"/>
      <c r="AJ60" s="258"/>
      <c r="AK60" s="4"/>
      <c r="AL60" s="4"/>
      <c r="BC60" s="43" t="str">
        <f t="shared" si="0"/>
        <v>IV = Schulentpneuz</v>
      </c>
      <c r="BD60" s="43" t="s">
        <v>273</v>
      </c>
      <c r="BE60" s="56" t="s">
        <v>5</v>
      </c>
      <c r="BF60" s="33" t="s">
        <v>312</v>
      </c>
      <c r="BG60" s="33" t="s">
        <v>381</v>
      </c>
      <c r="BH60" s="33">
        <v>0.17</v>
      </c>
      <c r="BI60" s="33">
        <v>0.25</v>
      </c>
      <c r="CD60" s="56"/>
    </row>
    <row r="61" spans="1:82" ht="15" customHeight="1" thickBot="1" x14ac:dyDescent="0.3">
      <c r="A61" s="4"/>
      <c r="B61" s="215" t="s">
        <v>300</v>
      </c>
      <c r="C61" s="216"/>
      <c r="D61" s="216"/>
      <c r="E61" s="216"/>
      <c r="F61" s="216"/>
      <c r="G61" s="216"/>
      <c r="H61" s="216"/>
      <c r="I61" s="216"/>
      <c r="J61" s="216"/>
      <c r="K61" s="217"/>
      <c r="L61" s="218"/>
      <c r="M61" s="219"/>
      <c r="N61" s="220"/>
      <c r="O61" s="221"/>
      <c r="P61" s="222"/>
      <c r="Q61" s="220"/>
      <c r="R61" s="221"/>
      <c r="S61" s="222"/>
      <c r="T61" s="170" t="str">
        <f>IFERROR(IF($AQ$14=TRUE,VLOOKUP($O$47&amp;"stores"&amp;"Neu"&amp;$AN$48,BC:BI,6,FALSE),(VLOOKUP($O$47&amp;"stores"&amp;"Reno"&amp;$AN$48,BC:BI,6,FALSE))),AN57)</f>
        <v>gemäss Wahl</v>
      </c>
      <c r="U61" s="171"/>
      <c r="V61" s="171"/>
      <c r="W61" s="172"/>
      <c r="X61" s="223"/>
      <c r="Y61" s="224"/>
      <c r="Z61" s="225"/>
      <c r="AA61" s="226"/>
      <c r="AB61" s="227"/>
      <c r="AC61" s="225"/>
      <c r="AD61" s="226"/>
      <c r="AE61" s="227"/>
      <c r="AF61" s="170" t="str">
        <f>IFERROR(IF($AQ$14=TRUE,VLOOKUP($O$47&amp;"stores"&amp;"Neu"&amp;$AN$48,BC:BI,7,FALSE),(VLOOKUP($O$47&amp;"stores"&amp;"Reno"&amp;$AN$48,BC:BI,7,FALSE))),AN57)</f>
        <v>gemäss Wahl</v>
      </c>
      <c r="AG61" s="171"/>
      <c r="AH61" s="171"/>
      <c r="AI61" s="171"/>
      <c r="AJ61" s="172"/>
      <c r="AK61" s="4"/>
      <c r="AL61" s="4"/>
      <c r="BC61" s="43" t="str">
        <f>BD61&amp;BE61&amp;BF61&amp;BG61</f>
        <v>IV = Schulenmneuz</v>
      </c>
      <c r="BD61" s="43" t="s">
        <v>273</v>
      </c>
      <c r="BE61" s="56" t="s">
        <v>8</v>
      </c>
      <c r="BF61" s="33" t="s">
        <v>312</v>
      </c>
      <c r="BG61" s="33" t="s">
        <v>381</v>
      </c>
      <c r="BH61" s="33">
        <v>0.17</v>
      </c>
      <c r="BI61" s="33">
        <v>0.25</v>
      </c>
      <c r="CD61" s="56"/>
    </row>
    <row r="62" spans="1:82" ht="15" customHeight="1" x14ac:dyDescent="0.25">
      <c r="A62" s="4"/>
      <c r="B62" s="244"/>
      <c r="C62" s="245"/>
      <c r="D62" s="245"/>
      <c r="E62" s="245"/>
      <c r="F62" s="245"/>
      <c r="G62" s="245"/>
      <c r="H62" s="245"/>
      <c r="I62" s="245"/>
      <c r="J62" s="245"/>
      <c r="K62" s="246"/>
      <c r="L62" s="250" t="s">
        <v>304</v>
      </c>
      <c r="M62" s="251"/>
      <c r="N62" s="250" t="s">
        <v>310</v>
      </c>
      <c r="O62" s="251"/>
      <c r="P62" s="252"/>
      <c r="Q62" s="250" t="s">
        <v>311</v>
      </c>
      <c r="R62" s="251"/>
      <c r="S62" s="252"/>
      <c r="T62" s="253" t="s">
        <v>309</v>
      </c>
      <c r="U62" s="254"/>
      <c r="V62" s="254"/>
      <c r="W62" s="255"/>
      <c r="X62" s="238" t="s">
        <v>305</v>
      </c>
      <c r="Y62" s="239"/>
      <c r="Z62" s="250" t="s">
        <v>310</v>
      </c>
      <c r="AA62" s="251"/>
      <c r="AB62" s="252"/>
      <c r="AC62" s="250" t="s">
        <v>311</v>
      </c>
      <c r="AD62" s="251"/>
      <c r="AE62" s="252"/>
      <c r="AF62" s="173" t="s">
        <v>309</v>
      </c>
      <c r="AG62" s="174"/>
      <c r="AH62" s="174"/>
      <c r="AI62" s="174"/>
      <c r="AJ62" s="175"/>
      <c r="AK62" s="4"/>
      <c r="AL62" s="4"/>
      <c r="BC62" s="43" t="str">
        <f>BD62&amp;BE62&amp;BF62&amp;BG62</f>
        <v>IV = Schulensneuz</v>
      </c>
      <c r="BD62" s="43" t="s">
        <v>273</v>
      </c>
      <c r="BE62" s="56" t="s">
        <v>11</v>
      </c>
      <c r="BF62" s="33" t="s">
        <v>312</v>
      </c>
      <c r="BG62" s="33" t="s">
        <v>381</v>
      </c>
      <c r="BH62" s="33">
        <v>0.17</v>
      </c>
      <c r="BI62" s="33">
        <v>0.25</v>
      </c>
      <c r="BR62" s="43"/>
      <c r="CC62" s="58"/>
      <c r="CD62" s="56"/>
    </row>
    <row r="63" spans="1:82" ht="15" customHeight="1" x14ac:dyDescent="0.25">
      <c r="A63" s="4"/>
      <c r="B63" s="247"/>
      <c r="C63" s="248"/>
      <c r="D63" s="248"/>
      <c r="E63" s="248"/>
      <c r="F63" s="248"/>
      <c r="G63" s="248"/>
      <c r="H63" s="248"/>
      <c r="I63" s="248"/>
      <c r="J63" s="248"/>
      <c r="K63" s="249"/>
      <c r="L63" s="179"/>
      <c r="M63" s="180"/>
      <c r="N63" s="179" t="s">
        <v>56</v>
      </c>
      <c r="O63" s="180"/>
      <c r="P63" s="181"/>
      <c r="Q63" s="179" t="s">
        <v>56</v>
      </c>
      <c r="R63" s="180"/>
      <c r="S63" s="181"/>
      <c r="T63" s="241" t="s">
        <v>56</v>
      </c>
      <c r="U63" s="242"/>
      <c r="V63" s="242"/>
      <c r="W63" s="243"/>
      <c r="X63" s="241"/>
      <c r="Y63" s="242"/>
      <c r="Z63" s="241" t="s">
        <v>56</v>
      </c>
      <c r="AA63" s="242"/>
      <c r="AB63" s="243"/>
      <c r="AC63" s="241" t="s">
        <v>56</v>
      </c>
      <c r="AD63" s="242"/>
      <c r="AE63" s="243"/>
      <c r="AF63" s="241" t="s">
        <v>56</v>
      </c>
      <c r="AG63" s="242"/>
      <c r="AH63" s="242"/>
      <c r="AI63" s="242"/>
      <c r="AJ63" s="243"/>
      <c r="AK63" s="4"/>
      <c r="AL63" s="4"/>
      <c r="BC63" s="43" t="str">
        <f t="shared" si="0"/>
        <v>IV = Schulenfenneuz</v>
      </c>
      <c r="BD63" s="43" t="s">
        <v>273</v>
      </c>
      <c r="BE63" s="56" t="s">
        <v>12</v>
      </c>
      <c r="BF63" s="33" t="s">
        <v>312</v>
      </c>
      <c r="BG63" s="33" t="s">
        <v>381</v>
      </c>
      <c r="BH63" s="33" t="s">
        <v>145</v>
      </c>
      <c r="BI63" s="33" t="s">
        <v>146</v>
      </c>
      <c r="BR63" s="43"/>
      <c r="CC63" s="58"/>
      <c r="CD63" s="56"/>
    </row>
    <row r="64" spans="1:82" ht="15" customHeight="1" x14ac:dyDescent="0.25">
      <c r="A64" s="4"/>
      <c r="B64" s="228" t="s">
        <v>301</v>
      </c>
      <c r="C64" s="229"/>
      <c r="D64" s="229"/>
      <c r="E64" s="229"/>
      <c r="F64" s="229"/>
      <c r="G64" s="229"/>
      <c r="H64" s="229"/>
      <c r="I64" s="229"/>
      <c r="J64" s="229"/>
      <c r="K64" s="230"/>
      <c r="L64" s="231"/>
      <c r="M64" s="232"/>
      <c r="N64" s="233"/>
      <c r="O64" s="234"/>
      <c r="P64" s="234"/>
      <c r="Q64" s="233"/>
      <c r="R64" s="234"/>
      <c r="S64" s="235"/>
      <c r="T64" s="212" t="str">
        <f>IFERROR(IF($AQ$14=TRUE,VLOOKUP($O$47&amp;"Fen"&amp;"Neu"&amp;$AN$48,BC:BI,6,FALSE),(VLOOKUP($O$47&amp;"Fen"&amp;"Reno"&amp;$AN$48,BC:BI,6,FALSE))),AN57)</f>
        <v>gemäss Wahl</v>
      </c>
      <c r="U64" s="213"/>
      <c r="V64" s="213"/>
      <c r="W64" s="214"/>
      <c r="X64" s="236"/>
      <c r="Y64" s="237"/>
      <c r="Z64" s="209"/>
      <c r="AA64" s="210"/>
      <c r="AB64" s="211"/>
      <c r="AC64" s="209"/>
      <c r="AD64" s="210"/>
      <c r="AE64" s="211"/>
      <c r="AF64" s="212" t="str">
        <f>IFERROR(IF($AQ$14=TRUE,VLOOKUP($O$47&amp;"fen"&amp;"Neu"&amp;$AN$48,BC:BI,7,FALSE),(VLOOKUP($O$47&amp;"fen"&amp;"Reno"&amp;$AN$48,BC:BI,7,FALSE))),AN57)</f>
        <v>gemäss Wahl</v>
      </c>
      <c r="AG64" s="213"/>
      <c r="AH64" s="213"/>
      <c r="AI64" s="213"/>
      <c r="AJ64" s="214"/>
      <c r="AK64" s="4"/>
      <c r="AL64" s="4"/>
      <c r="BC64" s="43" t="str">
        <f t="shared" si="0"/>
        <v>IV = Schulenportesneuz</v>
      </c>
      <c r="BD64" s="43" t="s">
        <v>273</v>
      </c>
      <c r="BE64" s="56" t="s">
        <v>15</v>
      </c>
      <c r="BF64" s="33" t="s">
        <v>312</v>
      </c>
      <c r="BG64" s="33" t="s">
        <v>381</v>
      </c>
      <c r="BH64" s="33">
        <v>1.2</v>
      </c>
      <c r="BI64" s="33">
        <v>1.5</v>
      </c>
      <c r="BR64" s="43"/>
      <c r="CD64" s="56"/>
    </row>
    <row r="65" spans="1:82" ht="15" customHeight="1" x14ac:dyDescent="0.25">
      <c r="A65" s="4"/>
      <c r="B65" s="228" t="s">
        <v>302</v>
      </c>
      <c r="C65" s="229"/>
      <c r="D65" s="229"/>
      <c r="E65" s="229"/>
      <c r="F65" s="229"/>
      <c r="G65" s="229"/>
      <c r="H65" s="229"/>
      <c r="I65" s="229"/>
      <c r="J65" s="229"/>
      <c r="K65" s="230"/>
      <c r="L65" s="231"/>
      <c r="M65" s="232"/>
      <c r="N65" s="233"/>
      <c r="O65" s="234"/>
      <c r="P65" s="234"/>
      <c r="Q65" s="233"/>
      <c r="R65" s="234"/>
      <c r="S65" s="235"/>
      <c r="T65" s="212" t="str">
        <f>IFERROR(IF($AQ$14=TRUE,VLOOKUP($O$47&amp;"portes"&amp;"Neu"&amp;$AN$48,BC:BI,6,FALSE),(VLOOKUP($O$47&amp;"portes"&amp;"Reno"&amp;$AN$48,BC:BI,6,FALSE))),AN57)</f>
        <v>gemäss Wahl</v>
      </c>
      <c r="U65" s="213"/>
      <c r="V65" s="213"/>
      <c r="W65" s="214"/>
      <c r="X65" s="236"/>
      <c r="Y65" s="237"/>
      <c r="Z65" s="209"/>
      <c r="AA65" s="210"/>
      <c r="AB65" s="211"/>
      <c r="AC65" s="209"/>
      <c r="AD65" s="210"/>
      <c r="AE65" s="211"/>
      <c r="AF65" s="212" t="str">
        <f>IFERROR(IF($AQ$14=TRUE,VLOOKUP($O$47&amp;"portes"&amp;"Neu"&amp;$AN$48,BC:BI,7,FALSE),(VLOOKUP($O$47&amp;"portes"&amp;"Reno"&amp;$AN$48,BC:BI,7,FALSE))),AN57)</f>
        <v>gemäss Wahl</v>
      </c>
      <c r="AG65" s="213"/>
      <c r="AH65" s="213"/>
      <c r="AI65" s="213"/>
      <c r="AJ65" s="214"/>
      <c r="AK65" s="4"/>
      <c r="AL65" s="4"/>
      <c r="BC65" s="43" t="str">
        <f t="shared" si="0"/>
        <v>IV = Schulenp343neuz</v>
      </c>
      <c r="BD65" s="43" t="s">
        <v>273</v>
      </c>
      <c r="BE65" s="56" t="s">
        <v>16</v>
      </c>
      <c r="BF65" s="33" t="s">
        <v>312</v>
      </c>
      <c r="BG65" s="33" t="s">
        <v>381</v>
      </c>
      <c r="BH65" s="33">
        <v>1.7</v>
      </c>
      <c r="BI65" s="33">
        <v>2</v>
      </c>
      <c r="BR65" s="43"/>
      <c r="CC65" s="58"/>
      <c r="CD65" s="56"/>
    </row>
    <row r="66" spans="1:82" ht="39.950000000000003" customHeight="1" thickBot="1" x14ac:dyDescent="0.3">
      <c r="A66" s="4"/>
      <c r="B66" s="215" t="s">
        <v>303</v>
      </c>
      <c r="C66" s="216"/>
      <c r="D66" s="216"/>
      <c r="E66" s="216"/>
      <c r="F66" s="216"/>
      <c r="G66" s="216"/>
      <c r="H66" s="216"/>
      <c r="I66" s="216"/>
      <c r="J66" s="216"/>
      <c r="K66" s="217"/>
      <c r="L66" s="218"/>
      <c r="M66" s="219"/>
      <c r="N66" s="220"/>
      <c r="O66" s="221"/>
      <c r="P66" s="222"/>
      <c r="Q66" s="220"/>
      <c r="R66" s="221"/>
      <c r="S66" s="222"/>
      <c r="T66" s="170" t="str">
        <f>IFERROR(IF($AQ$14=TRUE,VLOOKUP($O$47&amp;"Fen"&amp;"Neu"&amp;$AN$48,BC:BI,6,FALSE),(VLOOKUP($O$47&amp;"Fen"&amp;"Reno"&amp;$AN$48,BC:BI,6,FALSE))),AN57)</f>
        <v>gemäss Wahl</v>
      </c>
      <c r="U66" s="171"/>
      <c r="V66" s="171"/>
      <c r="W66" s="172"/>
      <c r="X66" s="223"/>
      <c r="Y66" s="224"/>
      <c r="Z66" s="225"/>
      <c r="AA66" s="226"/>
      <c r="AB66" s="227"/>
      <c r="AC66" s="225"/>
      <c r="AD66" s="226"/>
      <c r="AE66" s="227"/>
      <c r="AF66" s="170" t="str">
        <f>IFERROR(IF($AQ$14=TRUE,VLOOKUP($O$47&amp;"fen"&amp;"Neu"&amp;$AN$48,BC:BI,7,FALSE),(VLOOKUP($O$47&amp;"fen"&amp;"Reno"&amp;$AN$48,BC:BI,7,FALSE))),AN57)</f>
        <v>gemäss Wahl</v>
      </c>
      <c r="AG66" s="171"/>
      <c r="AH66" s="171"/>
      <c r="AI66" s="171"/>
      <c r="AJ66" s="172"/>
      <c r="AK66" s="4"/>
      <c r="AL66" s="4"/>
      <c r="BC66" s="43" t="str">
        <f t="shared" si="0"/>
        <v>IV = Schulenstoresneuz</v>
      </c>
      <c r="BD66" s="43" t="s">
        <v>273</v>
      </c>
      <c r="BE66" s="56" t="s">
        <v>19</v>
      </c>
      <c r="BF66" s="33" t="s">
        <v>312</v>
      </c>
      <c r="BG66" s="33" t="s">
        <v>381</v>
      </c>
      <c r="BH66" s="33">
        <v>0.5</v>
      </c>
      <c r="BI66" s="33">
        <v>0.5</v>
      </c>
      <c r="CD66" s="56"/>
    </row>
    <row r="67" spans="1:82" ht="17.4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BC67" s="43" t="str">
        <f t="shared" si="0"/>
        <v>IV = Schulentprenoz</v>
      </c>
      <c r="BD67" s="43" t="s">
        <v>273</v>
      </c>
      <c r="BE67" s="56" t="s">
        <v>5</v>
      </c>
      <c r="BF67" s="33" t="s">
        <v>313</v>
      </c>
      <c r="BG67" s="33" t="s">
        <v>381</v>
      </c>
      <c r="BH67" s="33">
        <v>0.25</v>
      </c>
      <c r="BI67" s="33">
        <v>0.28000000000000003</v>
      </c>
      <c r="CD67" s="56"/>
    </row>
    <row r="68" spans="1:82" ht="17.45" customHeight="1" x14ac:dyDescent="0.25">
      <c r="A68" s="4"/>
      <c r="B68" s="173"/>
      <c r="C68" s="174"/>
      <c r="D68" s="174"/>
      <c r="E68" s="174"/>
      <c r="F68" s="175"/>
      <c r="G68" s="182" t="s">
        <v>223</v>
      </c>
      <c r="H68" s="183"/>
      <c r="I68" s="183"/>
      <c r="J68" s="183"/>
      <c r="K68" s="183"/>
      <c r="L68" s="183"/>
      <c r="M68" s="183"/>
      <c r="N68" s="183"/>
      <c r="O68" s="184"/>
      <c r="P68" s="191" t="s">
        <v>1</v>
      </c>
      <c r="Q68" s="192"/>
      <c r="R68" s="192"/>
      <c r="S68" s="192"/>
      <c r="T68" s="192"/>
      <c r="U68" s="192"/>
      <c r="V68" s="192"/>
      <c r="W68" s="192"/>
      <c r="X68" s="193"/>
      <c r="Y68" s="200" t="s">
        <v>224</v>
      </c>
      <c r="Z68" s="201"/>
      <c r="AA68" s="201"/>
      <c r="AB68" s="201"/>
      <c r="AC68" s="201"/>
      <c r="AD68" s="201"/>
      <c r="AE68" s="201"/>
      <c r="AF68" s="201"/>
      <c r="AG68" s="201"/>
      <c r="AH68" s="201"/>
      <c r="AI68" s="201"/>
      <c r="AJ68" s="201"/>
      <c r="AK68" s="202"/>
      <c r="AL68" s="4"/>
      <c r="BC68" s="43" t="str">
        <f>BD68&amp;BE68&amp;BF68&amp;BG68</f>
        <v>IV = Schulenmrenoz</v>
      </c>
      <c r="BD68" s="43" t="s">
        <v>273</v>
      </c>
      <c r="BE68" s="56" t="s">
        <v>8</v>
      </c>
      <c r="BF68" s="33" t="s">
        <v>313</v>
      </c>
      <c r="BG68" s="33" t="s">
        <v>381</v>
      </c>
      <c r="BH68" s="33">
        <v>0.25</v>
      </c>
      <c r="BI68" s="33">
        <v>0.28000000000000003</v>
      </c>
    </row>
    <row r="69" spans="1:82" ht="17.45" customHeight="1" x14ac:dyDescent="0.25">
      <c r="A69" s="4"/>
      <c r="B69" s="176"/>
      <c r="C69" s="177"/>
      <c r="D69" s="177"/>
      <c r="E69" s="177"/>
      <c r="F69" s="178"/>
      <c r="G69" s="185"/>
      <c r="H69" s="186"/>
      <c r="I69" s="186"/>
      <c r="J69" s="186"/>
      <c r="K69" s="186"/>
      <c r="L69" s="186"/>
      <c r="M69" s="186"/>
      <c r="N69" s="186"/>
      <c r="O69" s="187"/>
      <c r="P69" s="194"/>
      <c r="Q69" s="195"/>
      <c r="R69" s="195"/>
      <c r="S69" s="195"/>
      <c r="T69" s="195"/>
      <c r="U69" s="195"/>
      <c r="V69" s="195"/>
      <c r="W69" s="195"/>
      <c r="X69" s="196"/>
      <c r="Y69" s="203"/>
      <c r="Z69" s="204"/>
      <c r="AA69" s="204"/>
      <c r="AB69" s="204"/>
      <c r="AC69" s="204"/>
      <c r="AD69" s="204"/>
      <c r="AE69" s="204"/>
      <c r="AF69" s="204"/>
      <c r="AG69" s="204"/>
      <c r="AH69" s="204"/>
      <c r="AI69" s="204"/>
      <c r="AJ69" s="204"/>
      <c r="AK69" s="205"/>
      <c r="AL69" s="4"/>
      <c r="BC69" s="43" t="str">
        <f>BD69&amp;BE69&amp;BF69&amp;BG69</f>
        <v>IV = Schulensrenoz</v>
      </c>
      <c r="BD69" s="43" t="s">
        <v>273</v>
      </c>
      <c r="BE69" s="56" t="s">
        <v>11</v>
      </c>
      <c r="BF69" s="33" t="s">
        <v>313</v>
      </c>
      <c r="BG69" s="33" t="s">
        <v>381</v>
      </c>
      <c r="BH69" s="33">
        <v>0.25</v>
      </c>
      <c r="BI69" s="33">
        <v>0.28000000000000003</v>
      </c>
    </row>
    <row r="70" spans="1:82" ht="17.45" customHeight="1" x14ac:dyDescent="0.25">
      <c r="A70" s="4"/>
      <c r="B70" s="176"/>
      <c r="C70" s="177"/>
      <c r="D70" s="177"/>
      <c r="E70" s="177"/>
      <c r="F70" s="178"/>
      <c r="G70" s="185"/>
      <c r="H70" s="186"/>
      <c r="I70" s="186"/>
      <c r="J70" s="186"/>
      <c r="K70" s="186"/>
      <c r="L70" s="186"/>
      <c r="M70" s="186"/>
      <c r="N70" s="186"/>
      <c r="O70" s="187"/>
      <c r="P70" s="194"/>
      <c r="Q70" s="195"/>
      <c r="R70" s="195"/>
      <c r="S70" s="195"/>
      <c r="T70" s="195"/>
      <c r="U70" s="195"/>
      <c r="V70" s="195"/>
      <c r="W70" s="195"/>
      <c r="X70" s="196"/>
      <c r="Y70" s="203"/>
      <c r="Z70" s="204"/>
      <c r="AA70" s="204"/>
      <c r="AB70" s="204"/>
      <c r="AC70" s="204"/>
      <c r="AD70" s="204"/>
      <c r="AE70" s="204"/>
      <c r="AF70" s="204"/>
      <c r="AG70" s="204"/>
      <c r="AH70" s="204"/>
      <c r="AI70" s="204"/>
      <c r="AJ70" s="204"/>
      <c r="AK70" s="205"/>
      <c r="AL70" s="4"/>
      <c r="BC70" s="43" t="str">
        <f t="shared" si="0"/>
        <v>IV = Schulenfenrenoz</v>
      </c>
      <c r="BD70" s="43" t="s">
        <v>273</v>
      </c>
      <c r="BE70" s="56" t="s">
        <v>12</v>
      </c>
      <c r="BF70" s="33" t="s">
        <v>313</v>
      </c>
      <c r="BG70" s="33" t="s">
        <v>381</v>
      </c>
      <c r="BH70" s="33" t="s">
        <v>145</v>
      </c>
      <c r="BI70" s="33" t="s">
        <v>146</v>
      </c>
    </row>
    <row r="71" spans="1:82" ht="20.100000000000001" customHeight="1" x14ac:dyDescent="0.25">
      <c r="A71" s="4"/>
      <c r="B71" s="179"/>
      <c r="C71" s="180"/>
      <c r="D71" s="180"/>
      <c r="E71" s="180"/>
      <c r="F71" s="181"/>
      <c r="G71" s="188"/>
      <c r="H71" s="189"/>
      <c r="I71" s="189"/>
      <c r="J71" s="189"/>
      <c r="K71" s="189"/>
      <c r="L71" s="189"/>
      <c r="M71" s="189"/>
      <c r="N71" s="189"/>
      <c r="O71" s="190"/>
      <c r="P71" s="197"/>
      <c r="Q71" s="198"/>
      <c r="R71" s="198"/>
      <c r="S71" s="198"/>
      <c r="T71" s="198"/>
      <c r="U71" s="198"/>
      <c r="V71" s="198"/>
      <c r="W71" s="198"/>
      <c r="X71" s="199"/>
      <c r="Y71" s="206"/>
      <c r="Z71" s="207"/>
      <c r="AA71" s="207"/>
      <c r="AB71" s="207"/>
      <c r="AC71" s="207"/>
      <c r="AD71" s="207"/>
      <c r="AE71" s="207"/>
      <c r="AF71" s="207"/>
      <c r="AG71" s="207"/>
      <c r="AH71" s="207"/>
      <c r="AI71" s="207"/>
      <c r="AJ71" s="207"/>
      <c r="AK71" s="208"/>
      <c r="AL71" s="4"/>
      <c r="BC71" s="43" t="str">
        <f t="shared" si="0"/>
        <v>IV = Schulenportesrenoz</v>
      </c>
      <c r="BD71" s="43" t="s">
        <v>273</v>
      </c>
      <c r="BE71" s="56" t="s">
        <v>15</v>
      </c>
      <c r="BF71" s="33" t="s">
        <v>313</v>
      </c>
      <c r="BG71" s="33" t="s">
        <v>381</v>
      </c>
      <c r="BH71" s="33">
        <v>1.2</v>
      </c>
      <c r="BI71" s="33">
        <v>1.5</v>
      </c>
    </row>
    <row r="72" spans="1:82" ht="20.100000000000001" customHeight="1" thickBot="1" x14ac:dyDescent="0.3">
      <c r="A72" s="4"/>
      <c r="B72" s="17"/>
      <c r="C72" s="17"/>
      <c r="D72" s="18"/>
      <c r="E72" s="18"/>
      <c r="F72" s="18"/>
      <c r="G72" s="18"/>
      <c r="H72" s="18"/>
      <c r="I72" s="18"/>
      <c r="J72" s="18"/>
      <c r="K72" s="18"/>
      <c r="L72" s="18"/>
      <c r="M72" s="18"/>
      <c r="N72" s="19"/>
      <c r="O72" s="19"/>
      <c r="P72" s="19"/>
      <c r="Q72" s="19"/>
      <c r="R72" s="19"/>
      <c r="S72" s="19"/>
      <c r="T72" s="19"/>
      <c r="U72" s="19"/>
      <c r="V72" s="20"/>
      <c r="W72" s="20"/>
      <c r="X72" s="20"/>
      <c r="Y72" s="20"/>
      <c r="Z72" s="20"/>
      <c r="AA72" s="20"/>
      <c r="AB72" s="20"/>
      <c r="AC72" s="20"/>
      <c r="AD72" s="20"/>
      <c r="AE72" s="20"/>
      <c r="AF72" s="20"/>
      <c r="AG72" s="20"/>
      <c r="AH72" s="20"/>
      <c r="AI72" s="20"/>
      <c r="AJ72" s="20"/>
      <c r="AK72" s="20"/>
      <c r="AL72" s="4"/>
      <c r="BC72" s="43" t="str">
        <f t="shared" si="0"/>
        <v>IV = Schulenp343renoz</v>
      </c>
      <c r="BD72" s="43" t="s">
        <v>273</v>
      </c>
      <c r="BE72" s="56" t="s">
        <v>16</v>
      </c>
      <c r="BF72" s="33" t="s">
        <v>313</v>
      </c>
      <c r="BG72" s="33" t="s">
        <v>381</v>
      </c>
      <c r="BH72" s="33">
        <v>1.7</v>
      </c>
      <c r="BI72" s="33">
        <v>2</v>
      </c>
    </row>
    <row r="73" spans="1:82" ht="22.5" customHeight="1" x14ac:dyDescent="0.25">
      <c r="A73" s="4"/>
      <c r="B73" s="21" t="s">
        <v>316</v>
      </c>
      <c r="C73" s="21"/>
      <c r="D73" s="21"/>
      <c r="E73" s="21"/>
      <c r="F73" s="21"/>
      <c r="G73" s="21"/>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BC73" s="43" t="str">
        <f t="shared" si="0"/>
        <v>IV = Schulenstoresrenoz</v>
      </c>
      <c r="BD73" s="43" t="s">
        <v>273</v>
      </c>
      <c r="BE73" s="56" t="s">
        <v>19</v>
      </c>
      <c r="BF73" s="33" t="s">
        <v>313</v>
      </c>
      <c r="BG73" s="33" t="s">
        <v>381</v>
      </c>
      <c r="BH73" s="33">
        <v>0.5</v>
      </c>
      <c r="BI73" s="33">
        <v>0.5</v>
      </c>
    </row>
    <row r="74" spans="1:82" ht="22.5" customHeight="1" x14ac:dyDescent="0.25">
      <c r="A74" s="4"/>
      <c r="B74" s="4" t="s">
        <v>317</v>
      </c>
      <c r="C74" s="4"/>
      <c r="D74" s="4"/>
      <c r="E74" s="4"/>
      <c r="F74" s="4"/>
      <c r="H74" s="4"/>
      <c r="I74" s="4"/>
      <c r="K74" s="4"/>
      <c r="L74" s="4"/>
      <c r="M74" s="4"/>
      <c r="N74" s="4"/>
      <c r="O74" s="4"/>
      <c r="P74" s="4"/>
      <c r="Q74" s="4"/>
      <c r="R74" s="36"/>
      <c r="S74" s="36"/>
      <c r="T74" s="36"/>
      <c r="U74" s="36"/>
      <c r="V74" s="36"/>
      <c r="W74" s="35" t="str">
        <f>IF(AN74=2,"Systemnachweis benötigt, EN-VS-102b anzugeben","")</f>
        <v/>
      </c>
      <c r="X74" s="4"/>
      <c r="Y74" s="4"/>
      <c r="Z74" s="4"/>
      <c r="AA74" s="4"/>
      <c r="AB74" s="4"/>
      <c r="AC74" s="4"/>
      <c r="AD74" s="4"/>
      <c r="AE74" s="4"/>
      <c r="AF74" s="4"/>
      <c r="AG74" s="4"/>
      <c r="AH74" s="4"/>
      <c r="AI74" s="4"/>
      <c r="AJ74" s="4"/>
      <c r="AK74" s="4"/>
      <c r="AL74" s="4"/>
      <c r="AN74" s="33">
        <v>0</v>
      </c>
      <c r="BC74" s="43" t="str">
        <f t="shared" si="0"/>
        <v>V = Verkauftpneuz</v>
      </c>
      <c r="BD74" s="43" t="s">
        <v>274</v>
      </c>
      <c r="BE74" s="56" t="s">
        <v>5</v>
      </c>
      <c r="BF74" s="33" t="s">
        <v>312</v>
      </c>
      <c r="BG74" s="33" t="s">
        <v>381</v>
      </c>
      <c r="BH74" s="33">
        <v>0.17</v>
      </c>
      <c r="BI74" s="33">
        <v>0.25</v>
      </c>
    </row>
    <row r="75" spans="1:82" ht="22.5" customHeight="1" x14ac:dyDescent="0.25">
      <c r="A75" s="4"/>
      <c r="B75" s="4" t="s">
        <v>318</v>
      </c>
      <c r="C75" s="4"/>
      <c r="D75" s="4"/>
      <c r="E75" s="4"/>
      <c r="F75" s="4"/>
      <c r="G75" s="4"/>
      <c r="H75" s="4"/>
      <c r="I75" s="4"/>
      <c r="J75" s="4"/>
      <c r="K75" s="4"/>
      <c r="L75" s="4"/>
      <c r="M75" s="4"/>
      <c r="N75" s="4"/>
      <c r="O75" s="4"/>
      <c r="P75" s="4"/>
      <c r="Q75" s="4"/>
      <c r="R75" s="36"/>
      <c r="S75" s="36"/>
      <c r="T75" s="36"/>
      <c r="U75" s="36"/>
      <c r="V75" s="36"/>
      <c r="W75" s="35" t="str">
        <f>IF(AN75=2,"Systemnachweis benötigt, EN-VS-102b anzugeben","")</f>
        <v/>
      </c>
      <c r="X75" s="4"/>
      <c r="Y75" s="4"/>
      <c r="Z75" s="4"/>
      <c r="AA75" s="4"/>
      <c r="AB75" s="4"/>
      <c r="AC75" s="4"/>
      <c r="AD75" s="4"/>
      <c r="AE75" s="4"/>
      <c r="AF75" s="4"/>
      <c r="AG75" s="4"/>
      <c r="AH75" s="4"/>
      <c r="AI75" s="4"/>
      <c r="AJ75" s="4"/>
      <c r="AK75" s="4"/>
      <c r="AL75" s="4"/>
      <c r="AN75" s="33">
        <v>0</v>
      </c>
      <c r="BC75" s="43" t="str">
        <f>BD75&amp;BE75&amp;BF75&amp;BG75</f>
        <v>V = Verkaufmneuz</v>
      </c>
      <c r="BD75" s="43" t="s">
        <v>274</v>
      </c>
      <c r="BE75" s="56" t="s">
        <v>8</v>
      </c>
      <c r="BF75" s="33" t="s">
        <v>312</v>
      </c>
      <c r="BG75" s="33" t="s">
        <v>381</v>
      </c>
      <c r="BH75" s="33">
        <v>0.17</v>
      </c>
      <c r="BI75" s="33">
        <v>0.25</v>
      </c>
    </row>
    <row r="76" spans="1:82" ht="19.899999999999999" customHeight="1" x14ac:dyDescent="0.25">
      <c r="A76" s="4"/>
      <c r="B76" s="4" t="s">
        <v>319</v>
      </c>
      <c r="C76" s="4"/>
      <c r="D76" s="4"/>
      <c r="E76" s="4"/>
      <c r="F76" s="4"/>
      <c r="G76" s="4"/>
      <c r="H76" s="4"/>
      <c r="I76" s="4"/>
      <c r="K76" s="4"/>
      <c r="L76" s="4"/>
      <c r="M76" s="4"/>
      <c r="O76" s="4"/>
      <c r="P76" s="4"/>
      <c r="Q76" s="4"/>
      <c r="R76" s="36"/>
      <c r="S76" s="36"/>
      <c r="T76" s="36"/>
      <c r="U76" s="36"/>
      <c r="V76" s="36"/>
      <c r="W76" s="4"/>
      <c r="X76" s="4"/>
      <c r="Y76" s="4"/>
      <c r="Z76" s="4"/>
      <c r="AA76" s="4"/>
      <c r="AB76" s="4"/>
      <c r="AC76" s="4"/>
      <c r="AD76" s="4"/>
      <c r="AE76" s="4"/>
      <c r="AF76" s="4"/>
      <c r="AG76" s="4"/>
      <c r="AH76" s="4"/>
      <c r="AI76" s="4"/>
      <c r="AJ76" s="4"/>
      <c r="AK76" s="4"/>
      <c r="AL76" s="4"/>
      <c r="AN76" s="33">
        <v>0</v>
      </c>
      <c r="BC76" s="43" t="str">
        <f>BD76&amp;BE76&amp;BF76&amp;BG76</f>
        <v>V = Verkaufsneuz</v>
      </c>
      <c r="BD76" s="43" t="s">
        <v>274</v>
      </c>
      <c r="BE76" s="56" t="s">
        <v>11</v>
      </c>
      <c r="BF76" s="33" t="s">
        <v>312</v>
      </c>
      <c r="BG76" s="33" t="s">
        <v>381</v>
      </c>
      <c r="BH76" s="33">
        <v>0.17</v>
      </c>
      <c r="BI76" s="33">
        <v>0.25</v>
      </c>
    </row>
    <row r="77" spans="1:82" ht="15" customHeight="1" x14ac:dyDescent="0.25">
      <c r="A77" s="4"/>
      <c r="B77" s="147" t="s">
        <v>320</v>
      </c>
      <c r="C77" s="147"/>
      <c r="D77" s="147"/>
      <c r="E77" s="147"/>
      <c r="F77" s="147"/>
      <c r="G77" s="147"/>
      <c r="H77" s="147"/>
      <c r="I77" s="147"/>
      <c r="J77" s="147"/>
      <c r="K77" s="147"/>
      <c r="L77" s="147"/>
      <c r="M77" s="147"/>
      <c r="N77" s="147"/>
      <c r="O77" s="147"/>
      <c r="P77" s="147"/>
      <c r="Q77" s="4"/>
      <c r="R77" s="36"/>
      <c r="S77" s="36"/>
      <c r="T77" s="36"/>
      <c r="U77" s="36"/>
      <c r="V77" s="36"/>
      <c r="W77" s="4"/>
      <c r="X77" s="4"/>
      <c r="Y77" s="4"/>
      <c r="Z77" s="4"/>
      <c r="AA77" s="4"/>
      <c r="AB77" s="4"/>
      <c r="AC77" s="4"/>
      <c r="AD77" s="4"/>
      <c r="AE77" s="4"/>
      <c r="AF77" s="4"/>
      <c r="AG77" s="4"/>
      <c r="AH77" s="4"/>
      <c r="AI77" s="4"/>
      <c r="AJ77" s="4"/>
      <c r="AK77" s="4"/>
      <c r="AL77" s="4"/>
      <c r="BC77" s="43" t="str">
        <f t="shared" si="0"/>
        <v>V = Verkauffenneuz</v>
      </c>
      <c r="BD77" s="43" t="s">
        <v>274</v>
      </c>
      <c r="BE77" s="56" t="s">
        <v>12</v>
      </c>
      <c r="BF77" s="33" t="s">
        <v>312</v>
      </c>
      <c r="BG77" s="33" t="s">
        <v>381</v>
      </c>
      <c r="BH77" s="33" t="s">
        <v>145</v>
      </c>
      <c r="BI77" s="33" t="s">
        <v>146</v>
      </c>
    </row>
    <row r="78" spans="1:82" ht="8.4499999999999993" customHeight="1" x14ac:dyDescent="0.25">
      <c r="A78" s="4"/>
      <c r="B78" s="147"/>
      <c r="C78" s="147"/>
      <c r="D78" s="147"/>
      <c r="E78" s="147"/>
      <c r="F78" s="147"/>
      <c r="G78" s="147"/>
      <c r="H78" s="147"/>
      <c r="I78" s="147"/>
      <c r="J78" s="147"/>
      <c r="K78" s="147"/>
      <c r="L78" s="147"/>
      <c r="M78" s="147"/>
      <c r="N78" s="147"/>
      <c r="O78" s="147"/>
      <c r="P78" s="147"/>
      <c r="Q78" s="4"/>
      <c r="R78" s="36"/>
      <c r="S78" s="36"/>
      <c r="T78" s="49"/>
      <c r="U78" s="49"/>
      <c r="V78" s="49"/>
      <c r="W78" s="48"/>
      <c r="X78" s="48"/>
      <c r="Y78" s="48"/>
      <c r="Z78" s="48"/>
      <c r="AA78" s="48"/>
      <c r="AB78" s="48"/>
      <c r="AC78" s="48"/>
      <c r="AD78" s="48"/>
      <c r="AE78" s="48"/>
      <c r="AF78" s="48"/>
      <c r="AG78" s="48"/>
      <c r="AH78" s="48"/>
      <c r="AI78" s="48"/>
      <c r="AJ78" s="48"/>
      <c r="AK78" s="48"/>
      <c r="AL78" s="4"/>
      <c r="AN78" s="33">
        <v>0</v>
      </c>
      <c r="BC78" s="43" t="str">
        <f t="shared" si="0"/>
        <v>V = Verkaufportesneuz</v>
      </c>
      <c r="BD78" s="43" t="s">
        <v>274</v>
      </c>
      <c r="BE78" s="56" t="s">
        <v>15</v>
      </c>
      <c r="BF78" s="33" t="s">
        <v>312</v>
      </c>
      <c r="BG78" s="33" t="s">
        <v>381</v>
      </c>
      <c r="BH78" s="33">
        <v>1.2</v>
      </c>
      <c r="BI78" s="33">
        <v>1.5</v>
      </c>
    </row>
    <row r="79" spans="1:82" ht="9.6" customHeight="1" thickBot="1" x14ac:dyDescent="0.3">
      <c r="A79" s="4"/>
      <c r="B79" s="22"/>
      <c r="C79" s="22"/>
      <c r="D79" s="23"/>
      <c r="E79" s="23"/>
      <c r="F79" s="23"/>
      <c r="G79" s="23"/>
      <c r="H79" s="23"/>
      <c r="I79" s="23"/>
      <c r="J79" s="23"/>
      <c r="K79" s="23"/>
      <c r="L79" s="23"/>
      <c r="M79" s="23"/>
      <c r="N79" s="24"/>
      <c r="O79" s="24"/>
      <c r="P79" s="24"/>
      <c r="Q79" s="24"/>
      <c r="R79" s="24"/>
      <c r="S79" s="24"/>
      <c r="T79" s="24"/>
      <c r="U79" s="24"/>
      <c r="V79" s="25"/>
      <c r="W79" s="25"/>
      <c r="X79" s="25"/>
      <c r="Y79" s="25"/>
      <c r="Z79" s="25"/>
      <c r="AA79" s="25"/>
      <c r="AB79" s="25"/>
      <c r="AC79" s="25"/>
      <c r="AD79" s="25"/>
      <c r="AE79" s="25"/>
      <c r="AF79" s="25"/>
      <c r="AG79" s="25"/>
      <c r="AH79" s="25"/>
      <c r="AI79" s="25"/>
      <c r="AJ79" s="25"/>
      <c r="AK79" s="25"/>
      <c r="AL79" s="4"/>
      <c r="BC79" s="43" t="str">
        <f t="shared" si="0"/>
        <v>V = Verkaufp343neuz</v>
      </c>
      <c r="BD79" s="43" t="s">
        <v>274</v>
      </c>
      <c r="BE79" s="56" t="s">
        <v>16</v>
      </c>
      <c r="BF79" s="33" t="s">
        <v>312</v>
      </c>
      <c r="BG79" s="33" t="s">
        <v>381</v>
      </c>
      <c r="BH79" s="33">
        <v>1.7</v>
      </c>
      <c r="BI79" s="33">
        <v>2</v>
      </c>
    </row>
    <row r="80" spans="1:82" ht="15.75" x14ac:dyDescent="0.25">
      <c r="A80" s="4"/>
      <c r="B80" s="21" t="s">
        <v>321</v>
      </c>
      <c r="C80" s="21"/>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BC80" s="43" t="str">
        <f t="shared" si="0"/>
        <v>V = Verkaufstoresneuz</v>
      </c>
      <c r="BD80" s="43" t="s">
        <v>274</v>
      </c>
      <c r="BE80" s="56" t="s">
        <v>19</v>
      </c>
      <c r="BF80" s="33" t="s">
        <v>312</v>
      </c>
      <c r="BG80" s="33" t="s">
        <v>381</v>
      </c>
      <c r="BH80" s="33">
        <v>0.5</v>
      </c>
      <c r="BI80" s="33">
        <v>0.5</v>
      </c>
    </row>
    <row r="81" spans="1:61" ht="12.75" x14ac:dyDescent="0.25">
      <c r="A81" s="4"/>
      <c r="B81" s="147" t="s">
        <v>361</v>
      </c>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4"/>
      <c r="BC81" s="43" t="str">
        <f t="shared" si="0"/>
        <v>V = Verkauftprenoz</v>
      </c>
      <c r="BD81" s="43" t="s">
        <v>274</v>
      </c>
      <c r="BE81" s="56" t="s">
        <v>5</v>
      </c>
      <c r="BF81" s="33" t="s">
        <v>313</v>
      </c>
      <c r="BG81" s="33" t="s">
        <v>381</v>
      </c>
      <c r="BH81" s="33">
        <v>0.25</v>
      </c>
      <c r="BI81" s="33">
        <v>0.28000000000000003</v>
      </c>
    </row>
    <row r="82" spans="1:61" ht="12.75" x14ac:dyDescent="0.25">
      <c r="A82" s="4"/>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4"/>
      <c r="BC82" s="43" t="str">
        <f>BD82&amp;BE82&amp;BF82&amp;BG82</f>
        <v>V = Verkaufmrenoz</v>
      </c>
      <c r="BD82" s="43" t="s">
        <v>274</v>
      </c>
      <c r="BE82" s="56" t="s">
        <v>8</v>
      </c>
      <c r="BF82" s="33" t="s">
        <v>313</v>
      </c>
      <c r="BG82" s="33" t="s">
        <v>381</v>
      </c>
      <c r="BH82" s="33">
        <v>0.25</v>
      </c>
      <c r="BI82" s="33">
        <v>0.28000000000000003</v>
      </c>
    </row>
    <row r="83" spans="1:61" ht="12.75" x14ac:dyDescent="0.25">
      <c r="A83" s="4"/>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4"/>
      <c r="BC83" s="43" t="str">
        <f>BD83&amp;BE83&amp;BF83&amp;BG83</f>
        <v>V = Verkaufsrenoz</v>
      </c>
      <c r="BD83" s="43" t="s">
        <v>274</v>
      </c>
      <c r="BE83" s="56" t="s">
        <v>11</v>
      </c>
      <c r="BF83" s="33" t="s">
        <v>313</v>
      </c>
      <c r="BG83" s="33" t="s">
        <v>381</v>
      </c>
      <c r="BH83" s="33">
        <v>0.25</v>
      </c>
      <c r="BI83" s="33">
        <v>0.28000000000000003</v>
      </c>
    </row>
    <row r="84" spans="1:61" ht="7.15" customHeight="1" thickBot="1" x14ac:dyDescent="0.3">
      <c r="A84" s="4"/>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4"/>
      <c r="BC84" s="43" t="str">
        <f t="shared" si="0"/>
        <v>V = Verkauffenrenoz</v>
      </c>
      <c r="BD84" s="43" t="s">
        <v>274</v>
      </c>
      <c r="BE84" s="56" t="s">
        <v>12</v>
      </c>
      <c r="BF84" s="33" t="s">
        <v>313</v>
      </c>
      <c r="BG84" s="33" t="s">
        <v>381</v>
      </c>
      <c r="BH84" s="33" t="s">
        <v>145</v>
      </c>
      <c r="BI84" s="33" t="s">
        <v>146</v>
      </c>
    </row>
    <row r="85" spans="1:61" ht="15" customHeight="1" x14ac:dyDescent="0.25">
      <c r="A85" s="4"/>
      <c r="B85" s="21" t="s">
        <v>322</v>
      </c>
      <c r="C85" s="21"/>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BC85" s="43" t="str">
        <f t="shared" si="0"/>
        <v>V = Verkaufportesrenoz</v>
      </c>
      <c r="BD85" s="43" t="s">
        <v>274</v>
      </c>
      <c r="BE85" s="56" t="s">
        <v>15</v>
      </c>
      <c r="BF85" s="33" t="s">
        <v>313</v>
      </c>
      <c r="BG85" s="33" t="s">
        <v>381</v>
      </c>
      <c r="BH85" s="33">
        <v>1.2</v>
      </c>
      <c r="BI85" s="33">
        <v>1.5</v>
      </c>
    </row>
    <row r="86" spans="1:61" ht="15" customHeight="1" x14ac:dyDescent="0.25">
      <c r="A86" s="4"/>
      <c r="B86" s="148" t="s">
        <v>323</v>
      </c>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4"/>
      <c r="BC86" s="43" t="str">
        <f t="shared" si="0"/>
        <v>V = Verkaufp343renoz</v>
      </c>
      <c r="BD86" s="43" t="s">
        <v>274</v>
      </c>
      <c r="BE86" s="56" t="s">
        <v>16</v>
      </c>
      <c r="BF86" s="33" t="s">
        <v>313</v>
      </c>
      <c r="BG86" s="33" t="s">
        <v>381</v>
      </c>
      <c r="BH86" s="33">
        <v>1.7</v>
      </c>
      <c r="BI86" s="33">
        <v>2</v>
      </c>
    </row>
    <row r="87" spans="1:61" ht="15" customHeight="1" x14ac:dyDescent="0.25">
      <c r="A87" s="4"/>
      <c r="B87" s="147" t="s">
        <v>360</v>
      </c>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4"/>
      <c r="BC87" s="43" t="str">
        <f t="shared" si="0"/>
        <v>V = Verkaufstoresrenoz</v>
      </c>
      <c r="BD87" s="43" t="s">
        <v>274</v>
      </c>
      <c r="BE87" s="56" t="s">
        <v>19</v>
      </c>
      <c r="BF87" s="33" t="s">
        <v>313</v>
      </c>
      <c r="BG87" s="33" t="s">
        <v>381</v>
      </c>
      <c r="BH87" s="33">
        <v>0.5</v>
      </c>
      <c r="BI87" s="33">
        <v>0.5</v>
      </c>
    </row>
    <row r="88" spans="1:61" ht="15" customHeight="1" x14ac:dyDescent="0.25">
      <c r="A88" s="4"/>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4"/>
      <c r="BC88" s="43" t="str">
        <f t="shared" si="0"/>
        <v>VI = Restaurantstpneuz</v>
      </c>
      <c r="BD88" s="43" t="s">
        <v>275</v>
      </c>
      <c r="BE88" s="56" t="s">
        <v>5</v>
      </c>
      <c r="BF88" s="33" t="s">
        <v>312</v>
      </c>
      <c r="BG88" s="33" t="s">
        <v>381</v>
      </c>
      <c r="BH88" s="33">
        <v>0.17</v>
      </c>
      <c r="BI88" s="33">
        <v>0.25</v>
      </c>
    </row>
    <row r="89" spans="1:61" ht="15" customHeight="1" x14ac:dyDescent="0.25">
      <c r="A89" s="4"/>
      <c r="B89" s="168" t="s">
        <v>324</v>
      </c>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4"/>
      <c r="BC89" s="43" t="str">
        <f>BD89&amp;BE89&amp;BF89&amp;BG89</f>
        <v>VI = Restaurantsmneuz</v>
      </c>
      <c r="BD89" s="43" t="s">
        <v>275</v>
      </c>
      <c r="BE89" s="56" t="s">
        <v>8</v>
      </c>
      <c r="BF89" s="33" t="s">
        <v>312</v>
      </c>
      <c r="BG89" s="33" t="s">
        <v>381</v>
      </c>
      <c r="BH89" s="33">
        <v>0.17</v>
      </c>
      <c r="BI89" s="33">
        <v>0.25</v>
      </c>
    </row>
    <row r="90" spans="1:61" ht="12.75" x14ac:dyDescent="0.25">
      <c r="A90" s="4"/>
      <c r="B90" s="152" t="s">
        <v>325</v>
      </c>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4"/>
      <c r="BC90" s="43" t="str">
        <f>BD90&amp;BE90&amp;BF90&amp;BG90</f>
        <v>VI = Restaurantssneuz</v>
      </c>
      <c r="BD90" s="43" t="s">
        <v>275</v>
      </c>
      <c r="BE90" s="56" t="s">
        <v>11</v>
      </c>
      <c r="BF90" s="33" t="s">
        <v>312</v>
      </c>
      <c r="BG90" s="33" t="s">
        <v>381</v>
      </c>
      <c r="BH90" s="33">
        <v>0.17</v>
      </c>
      <c r="BI90" s="33">
        <v>0.25</v>
      </c>
    </row>
    <row r="91" spans="1:61" ht="10.15" customHeight="1" x14ac:dyDescent="0.25">
      <c r="A91" s="4"/>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
      <c r="BC91" s="43" t="str">
        <f t="shared" si="0"/>
        <v>VI = Restaurantsfenneuz</v>
      </c>
      <c r="BD91" s="43" t="s">
        <v>275</v>
      </c>
      <c r="BE91" s="56" t="s">
        <v>12</v>
      </c>
      <c r="BF91" s="33" t="s">
        <v>312</v>
      </c>
      <c r="BG91" s="33" t="s">
        <v>381</v>
      </c>
      <c r="BH91" s="33" t="s">
        <v>145</v>
      </c>
      <c r="BI91" s="33" t="s">
        <v>146</v>
      </c>
    </row>
    <row r="92" spans="1:61" ht="15" customHeight="1" x14ac:dyDescent="0.25">
      <c r="A92" s="4"/>
      <c r="B92" s="4" t="s">
        <v>76</v>
      </c>
      <c r="C92" s="303" t="s">
        <v>326</v>
      </c>
      <c r="D92" s="30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92"/>
      <c r="BC92" s="43" t="str">
        <f t="shared" si="0"/>
        <v>VI = Restaurantsportesneuz</v>
      </c>
      <c r="BD92" s="43" t="s">
        <v>275</v>
      </c>
      <c r="BE92" s="56" t="s">
        <v>15</v>
      </c>
      <c r="BF92" s="33" t="s">
        <v>312</v>
      </c>
      <c r="BG92" s="33" t="s">
        <v>381</v>
      </c>
      <c r="BH92" s="33">
        <v>1.2</v>
      </c>
      <c r="BI92" s="33">
        <v>1.5</v>
      </c>
    </row>
    <row r="93" spans="1:61" ht="15" customHeight="1" x14ac:dyDescent="0.25">
      <c r="A93" s="4"/>
      <c r="B93" s="4" t="s">
        <v>77</v>
      </c>
      <c r="C93" s="26" t="s">
        <v>327</v>
      </c>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BC93" s="43" t="str">
        <f t="shared" si="0"/>
        <v>VI = Restaurantsp343neuz</v>
      </c>
      <c r="BD93" s="43" t="s">
        <v>275</v>
      </c>
      <c r="BE93" s="56" t="s">
        <v>16</v>
      </c>
      <c r="BF93" s="33" t="s">
        <v>312</v>
      </c>
      <c r="BG93" s="33" t="s">
        <v>381</v>
      </c>
      <c r="BH93" s="33">
        <v>1.7</v>
      </c>
      <c r="BI93" s="33">
        <v>2</v>
      </c>
    </row>
    <row r="94" spans="1:61" ht="15" customHeight="1" x14ac:dyDescent="0.25">
      <c r="A94" s="4"/>
      <c r="B94" s="4" t="s">
        <v>79</v>
      </c>
      <c r="C94" s="26" t="s">
        <v>328</v>
      </c>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BC94" s="43" t="str">
        <f t="shared" si="0"/>
        <v>VI = Restaurantsstoresneuz</v>
      </c>
      <c r="BD94" s="43" t="s">
        <v>275</v>
      </c>
      <c r="BE94" s="56" t="s">
        <v>19</v>
      </c>
      <c r="BF94" s="33" t="s">
        <v>312</v>
      </c>
      <c r="BG94" s="33" t="s">
        <v>381</v>
      </c>
      <c r="BH94" s="33">
        <v>0.5</v>
      </c>
      <c r="BI94" s="33">
        <v>0.5</v>
      </c>
    </row>
    <row r="95" spans="1:61" ht="15" customHeight="1" x14ac:dyDescent="0.25">
      <c r="A95" s="4"/>
      <c r="B95" s="4" t="s">
        <v>81</v>
      </c>
      <c r="C95" s="169" t="s">
        <v>329</v>
      </c>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4"/>
      <c r="BC95" s="43" t="str">
        <f t="shared" si="0"/>
        <v>VI = Restaurantstprenoz</v>
      </c>
      <c r="BD95" s="43" t="s">
        <v>275</v>
      </c>
      <c r="BE95" s="56" t="s">
        <v>5</v>
      </c>
      <c r="BF95" s="33" t="s">
        <v>313</v>
      </c>
      <c r="BG95" s="33" t="s">
        <v>381</v>
      </c>
      <c r="BH95" s="33">
        <v>0.25</v>
      </c>
      <c r="BI95" s="33">
        <v>0.28000000000000003</v>
      </c>
    </row>
    <row r="96" spans="1:61" ht="12.75" x14ac:dyDescent="0.25">
      <c r="A96" s="4"/>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4"/>
      <c r="BC96" s="43" t="str">
        <f>BD96&amp;BE96&amp;BF96&amp;BG96</f>
        <v>VI = Restaurantsmrenoz</v>
      </c>
      <c r="BD96" s="43" t="s">
        <v>275</v>
      </c>
      <c r="BE96" s="56" t="s">
        <v>8</v>
      </c>
      <c r="BF96" s="33" t="s">
        <v>313</v>
      </c>
      <c r="BG96" s="33" t="s">
        <v>381</v>
      </c>
      <c r="BH96" s="33">
        <v>0.25</v>
      </c>
      <c r="BI96" s="33">
        <v>0.28000000000000003</v>
      </c>
    </row>
    <row r="97" spans="1:82" ht="6" customHeight="1" thickBot="1" x14ac:dyDescent="0.3">
      <c r="A97" s="4"/>
      <c r="B97" s="22"/>
      <c r="C97" s="22"/>
      <c r="D97" s="23"/>
      <c r="E97" s="23"/>
      <c r="F97" s="23"/>
      <c r="G97" s="23"/>
      <c r="H97" s="23"/>
      <c r="I97" s="23"/>
      <c r="J97" s="23"/>
      <c r="K97" s="23"/>
      <c r="L97" s="23"/>
      <c r="M97" s="23"/>
      <c r="N97" s="24"/>
      <c r="O97" s="24"/>
      <c r="P97" s="24"/>
      <c r="Q97" s="24"/>
      <c r="R97" s="24"/>
      <c r="S97" s="24"/>
      <c r="T97" s="24"/>
      <c r="U97" s="24"/>
      <c r="V97" s="25"/>
      <c r="W97" s="25"/>
      <c r="X97" s="25"/>
      <c r="Y97" s="25"/>
      <c r="Z97" s="25"/>
      <c r="AA97" s="25"/>
      <c r="AB97" s="25"/>
      <c r="AC97" s="25"/>
      <c r="AD97" s="25"/>
      <c r="AE97" s="25"/>
      <c r="AF97" s="25"/>
      <c r="AG97" s="25"/>
      <c r="AH97" s="25"/>
      <c r="AI97" s="25"/>
      <c r="AJ97" s="25"/>
      <c r="AK97" s="25"/>
      <c r="AL97" s="4"/>
      <c r="BC97" s="43" t="str">
        <f>BD97&amp;BE97&amp;BF97&amp;BG97</f>
        <v>VI = Restaurantssrenoz</v>
      </c>
      <c r="BD97" s="43" t="s">
        <v>275</v>
      </c>
      <c r="BE97" s="56" t="s">
        <v>11</v>
      </c>
      <c r="BF97" s="33" t="s">
        <v>313</v>
      </c>
      <c r="BG97" s="33" t="s">
        <v>381</v>
      </c>
      <c r="BH97" s="33">
        <v>0.25</v>
      </c>
      <c r="BI97" s="33">
        <v>0.28000000000000003</v>
      </c>
    </row>
    <row r="98" spans="1:82" ht="15" customHeight="1" x14ac:dyDescent="0.25">
      <c r="A98" s="4"/>
      <c r="B98" s="153" t="s">
        <v>330</v>
      </c>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4"/>
      <c r="BC98" s="43" t="str">
        <f t="shared" si="0"/>
        <v>VI = Restaurantsfenrenoz</v>
      </c>
      <c r="BD98" s="43" t="s">
        <v>275</v>
      </c>
      <c r="BE98" s="56" t="s">
        <v>12</v>
      </c>
      <c r="BF98" s="33" t="s">
        <v>313</v>
      </c>
      <c r="BG98" s="33" t="s">
        <v>381</v>
      </c>
      <c r="BH98" s="33" t="s">
        <v>145</v>
      </c>
      <c r="BI98" s="33" t="s">
        <v>146</v>
      </c>
    </row>
    <row r="99" spans="1:82" ht="15" customHeight="1" x14ac:dyDescent="0.25">
      <c r="A99" s="4"/>
      <c r="B99" s="304"/>
      <c r="C99" s="305"/>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6"/>
      <c r="AL99" s="4"/>
      <c r="BC99" s="43" t="str">
        <f t="shared" si="0"/>
        <v>VI = Restaurantsportesrenoz</v>
      </c>
      <c r="BD99" s="43" t="s">
        <v>275</v>
      </c>
      <c r="BE99" s="56" t="s">
        <v>15</v>
      </c>
      <c r="BF99" s="33" t="s">
        <v>313</v>
      </c>
      <c r="BG99" s="33" t="s">
        <v>381</v>
      </c>
      <c r="BH99" s="33">
        <v>1.2</v>
      </c>
      <c r="BI99" s="33">
        <v>1.5</v>
      </c>
    </row>
    <row r="100" spans="1:82" ht="15" customHeight="1" x14ac:dyDescent="0.25">
      <c r="A100" s="4"/>
      <c r="B100" s="307"/>
      <c r="C100" s="308"/>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9"/>
      <c r="AL100" s="4"/>
      <c r="BC100" s="43" t="str">
        <f t="shared" si="0"/>
        <v>VI = Restaurantsp343renoz</v>
      </c>
      <c r="BD100" s="43" t="s">
        <v>275</v>
      </c>
      <c r="BE100" s="56" t="s">
        <v>16</v>
      </c>
      <c r="BF100" s="33" t="s">
        <v>313</v>
      </c>
      <c r="BG100" s="33" t="s">
        <v>381</v>
      </c>
      <c r="BH100" s="33">
        <v>1.7</v>
      </c>
      <c r="BI100" s="33">
        <v>2</v>
      </c>
    </row>
    <row r="101" spans="1:82" ht="15" customHeight="1" x14ac:dyDescent="0.25">
      <c r="A101" s="4"/>
      <c r="B101" s="307"/>
      <c r="C101" s="308"/>
      <c r="D101" s="308"/>
      <c r="E101" s="308"/>
      <c r="F101" s="308"/>
      <c r="G101" s="308"/>
      <c r="H101" s="308"/>
      <c r="I101" s="308"/>
      <c r="J101" s="308"/>
      <c r="K101" s="308"/>
      <c r="L101" s="308"/>
      <c r="M101" s="308"/>
      <c r="N101" s="308"/>
      <c r="O101" s="308"/>
      <c r="P101" s="308"/>
      <c r="Q101" s="308"/>
      <c r="R101" s="308"/>
      <c r="S101" s="308"/>
      <c r="T101" s="308"/>
      <c r="U101" s="308"/>
      <c r="V101" s="308"/>
      <c r="W101" s="308"/>
      <c r="X101" s="308"/>
      <c r="Y101" s="308"/>
      <c r="Z101" s="308"/>
      <c r="AA101" s="308"/>
      <c r="AB101" s="308"/>
      <c r="AC101" s="308"/>
      <c r="AD101" s="308"/>
      <c r="AE101" s="308"/>
      <c r="AF101" s="308"/>
      <c r="AG101" s="308"/>
      <c r="AH101" s="308"/>
      <c r="AI101" s="308"/>
      <c r="AJ101" s="308"/>
      <c r="AK101" s="309"/>
      <c r="AL101" s="4"/>
      <c r="BC101" s="43" t="str">
        <f t="shared" si="0"/>
        <v>VI = Restaurantsstoresrenoz</v>
      </c>
      <c r="BD101" s="43" t="s">
        <v>275</v>
      </c>
      <c r="BE101" s="56" t="s">
        <v>19</v>
      </c>
      <c r="BF101" s="33" t="s">
        <v>313</v>
      </c>
      <c r="BG101" s="33" t="s">
        <v>381</v>
      </c>
      <c r="BH101" s="33">
        <v>0.5</v>
      </c>
      <c r="BI101" s="33">
        <v>0.5</v>
      </c>
      <c r="BQ101" s="43"/>
      <c r="BU101" s="59"/>
      <c r="CC101" s="58"/>
      <c r="CD101" s="58"/>
    </row>
    <row r="102" spans="1:82" ht="15" customHeight="1" x14ac:dyDescent="0.25">
      <c r="A102" s="4"/>
      <c r="B102" s="307"/>
      <c r="C102" s="308"/>
      <c r="D102" s="308"/>
      <c r="E102" s="308"/>
      <c r="F102" s="308"/>
      <c r="G102" s="308"/>
      <c r="H102" s="308"/>
      <c r="I102" s="308"/>
      <c r="J102" s="308"/>
      <c r="K102" s="308"/>
      <c r="L102" s="308"/>
      <c r="M102" s="308"/>
      <c r="N102" s="308"/>
      <c r="O102" s="308"/>
      <c r="P102" s="308"/>
      <c r="Q102" s="308"/>
      <c r="R102" s="308"/>
      <c r="S102" s="308"/>
      <c r="T102" s="308"/>
      <c r="U102" s="308"/>
      <c r="V102" s="308"/>
      <c r="W102" s="308"/>
      <c r="X102" s="308"/>
      <c r="Y102" s="308"/>
      <c r="Z102" s="308"/>
      <c r="AA102" s="308"/>
      <c r="AB102" s="308"/>
      <c r="AC102" s="308"/>
      <c r="AD102" s="308"/>
      <c r="AE102" s="308"/>
      <c r="AF102" s="308"/>
      <c r="AG102" s="308"/>
      <c r="AH102" s="308"/>
      <c r="AI102" s="308"/>
      <c r="AJ102" s="308"/>
      <c r="AK102" s="309"/>
      <c r="AL102" s="4"/>
      <c r="BC102" s="43" t="str">
        <f t="shared" si="0"/>
        <v>VII = Versammlungslokaletpneuz</v>
      </c>
      <c r="BD102" s="43" t="s">
        <v>276</v>
      </c>
      <c r="BE102" s="56" t="s">
        <v>5</v>
      </c>
      <c r="BF102" s="33" t="s">
        <v>312</v>
      </c>
      <c r="BG102" s="33" t="s">
        <v>381</v>
      </c>
      <c r="BH102" s="33">
        <v>0.17</v>
      </c>
      <c r="BI102" s="33">
        <v>0.25</v>
      </c>
      <c r="BQ102" s="43"/>
      <c r="BT102" s="58"/>
      <c r="BU102" s="60"/>
      <c r="BV102" s="60"/>
      <c r="CC102" s="58"/>
      <c r="CD102" s="58"/>
    </row>
    <row r="103" spans="1:82" ht="15" customHeight="1" x14ac:dyDescent="0.25">
      <c r="A103" s="4"/>
      <c r="B103" s="307"/>
      <c r="C103" s="308"/>
      <c r="D103" s="308"/>
      <c r="E103" s="308"/>
      <c r="F103" s="308"/>
      <c r="G103" s="308"/>
      <c r="H103" s="308"/>
      <c r="I103" s="308"/>
      <c r="J103" s="308"/>
      <c r="K103" s="308"/>
      <c r="L103" s="308"/>
      <c r="M103" s="308"/>
      <c r="N103" s="308"/>
      <c r="O103" s="308"/>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9"/>
      <c r="AL103" s="4"/>
      <c r="BC103" s="43" t="str">
        <f>BD103&amp;BE103&amp;BF103&amp;BG103</f>
        <v>VII = Versammlungslokalemneuz</v>
      </c>
      <c r="BD103" s="43" t="s">
        <v>276</v>
      </c>
      <c r="BE103" s="56" t="s">
        <v>8</v>
      </c>
      <c r="BF103" s="33" t="s">
        <v>312</v>
      </c>
      <c r="BG103" s="33" t="s">
        <v>381</v>
      </c>
      <c r="BH103" s="33">
        <v>0.17</v>
      </c>
      <c r="BI103" s="33">
        <v>0.25</v>
      </c>
      <c r="BQ103" s="43"/>
      <c r="BU103" s="60"/>
      <c r="BV103" s="61"/>
      <c r="CC103" s="58"/>
      <c r="CD103" s="58"/>
    </row>
    <row r="104" spans="1:82" ht="15" customHeight="1" x14ac:dyDescent="0.25">
      <c r="A104" s="4"/>
      <c r="B104" s="307"/>
      <c r="C104" s="308"/>
      <c r="D104" s="308"/>
      <c r="E104" s="308"/>
      <c r="F104" s="308"/>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9"/>
      <c r="AL104" s="4"/>
      <c r="BC104" s="43" t="str">
        <f>BD104&amp;BE104&amp;BF104&amp;BG104</f>
        <v>VII = Versammlungslokalesneuz</v>
      </c>
      <c r="BD104" s="43" t="s">
        <v>276</v>
      </c>
      <c r="BE104" s="56" t="s">
        <v>11</v>
      </c>
      <c r="BF104" s="33" t="s">
        <v>312</v>
      </c>
      <c r="BG104" s="33" t="s">
        <v>381</v>
      </c>
      <c r="BH104" s="33">
        <v>0.17</v>
      </c>
      <c r="BI104" s="33">
        <v>0.25</v>
      </c>
      <c r="BQ104" s="43"/>
      <c r="BV104" s="62"/>
      <c r="CC104" s="58"/>
      <c r="CD104" s="58"/>
    </row>
    <row r="105" spans="1:82" ht="15" customHeight="1" x14ac:dyDescent="0.25">
      <c r="B105" s="307"/>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9"/>
      <c r="AL105" s="4"/>
      <c r="BC105" s="43" t="str">
        <f t="shared" si="0"/>
        <v>VII = Versammlungslokalefenneuz</v>
      </c>
      <c r="BD105" s="43" t="s">
        <v>276</v>
      </c>
      <c r="BE105" s="56" t="s">
        <v>12</v>
      </c>
      <c r="BF105" s="33" t="s">
        <v>312</v>
      </c>
      <c r="BG105" s="33" t="s">
        <v>381</v>
      </c>
      <c r="BH105" s="33" t="s">
        <v>145</v>
      </c>
      <c r="BI105" s="33" t="s">
        <v>146</v>
      </c>
      <c r="BQ105" s="43"/>
      <c r="CC105" s="58"/>
      <c r="CD105" s="58"/>
    </row>
    <row r="106" spans="1:82" ht="15" customHeight="1" x14ac:dyDescent="0.25">
      <c r="A106" s="4"/>
      <c r="B106" s="307"/>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8"/>
      <c r="AK106" s="309"/>
      <c r="AL106" s="4"/>
      <c r="BC106" s="43" t="str">
        <f t="shared" si="0"/>
        <v>VII = Versammlungslokaleportesneuz</v>
      </c>
      <c r="BD106" s="43" t="s">
        <v>276</v>
      </c>
      <c r="BE106" s="56" t="s">
        <v>15</v>
      </c>
      <c r="BF106" s="33" t="s">
        <v>312</v>
      </c>
      <c r="BG106" s="33" t="s">
        <v>381</v>
      </c>
      <c r="BH106" s="33">
        <v>1.2</v>
      </c>
      <c r="BI106" s="33">
        <v>1.5</v>
      </c>
    </row>
    <row r="107" spans="1:82" ht="15" customHeight="1" x14ac:dyDescent="0.25">
      <c r="A107" s="4"/>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9"/>
      <c r="AL107" s="4"/>
      <c r="BC107" s="43" t="str">
        <f t="shared" si="0"/>
        <v>VII = Versammlungslokalep343neuz</v>
      </c>
      <c r="BD107" s="43" t="s">
        <v>276</v>
      </c>
      <c r="BE107" s="56" t="s">
        <v>16</v>
      </c>
      <c r="BF107" s="33" t="s">
        <v>312</v>
      </c>
      <c r="BG107" s="33" t="s">
        <v>381</v>
      </c>
      <c r="BH107" s="33">
        <v>1.7</v>
      </c>
      <c r="BI107" s="33">
        <v>2</v>
      </c>
    </row>
    <row r="108" spans="1:82" ht="15" customHeight="1" x14ac:dyDescent="0.25">
      <c r="A108" s="4"/>
      <c r="B108" s="307"/>
      <c r="C108" s="308"/>
      <c r="D108" s="308"/>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308"/>
      <c r="AJ108" s="308"/>
      <c r="AK108" s="309"/>
      <c r="AL108" s="4"/>
      <c r="BC108" s="43" t="str">
        <f t="shared" si="0"/>
        <v>VII = Versammlungslokalestoresneuz</v>
      </c>
      <c r="BD108" s="43" t="s">
        <v>276</v>
      </c>
      <c r="BE108" s="56" t="s">
        <v>19</v>
      </c>
      <c r="BF108" s="33" t="s">
        <v>312</v>
      </c>
      <c r="BG108" s="33" t="s">
        <v>381</v>
      </c>
      <c r="BH108" s="33">
        <v>0.5</v>
      </c>
      <c r="BI108" s="33">
        <v>0.5</v>
      </c>
    </row>
    <row r="109" spans="1:82" ht="16.5" customHeight="1" x14ac:dyDescent="0.25">
      <c r="A109" s="4"/>
      <c r="B109" s="310"/>
      <c r="C109" s="311"/>
      <c r="D109" s="311"/>
      <c r="E109" s="311"/>
      <c r="F109" s="311"/>
      <c r="G109" s="311"/>
      <c r="H109" s="311"/>
      <c r="I109" s="311"/>
      <c r="J109" s="311"/>
      <c r="K109" s="311"/>
      <c r="L109" s="311"/>
      <c r="M109" s="311"/>
      <c r="N109" s="311"/>
      <c r="O109" s="311"/>
      <c r="P109" s="311"/>
      <c r="Q109" s="311"/>
      <c r="R109" s="311"/>
      <c r="S109" s="311"/>
      <c r="T109" s="311"/>
      <c r="U109" s="311"/>
      <c r="V109" s="311"/>
      <c r="W109" s="311"/>
      <c r="X109" s="311"/>
      <c r="Y109" s="311"/>
      <c r="Z109" s="311"/>
      <c r="AA109" s="311"/>
      <c r="AB109" s="311"/>
      <c r="AC109" s="311"/>
      <c r="AD109" s="311"/>
      <c r="AE109" s="311"/>
      <c r="AF109" s="311"/>
      <c r="AG109" s="311"/>
      <c r="AH109" s="311"/>
      <c r="AI109" s="311"/>
      <c r="AJ109" s="311"/>
      <c r="AK109" s="312"/>
      <c r="AL109" s="4"/>
      <c r="BC109" s="43" t="str">
        <f t="shared" ref="BC109:BC200" si="1">BD109&amp;BE109&amp;BF109&amp;BG109</f>
        <v>VII = Versammlungslokaletprenoz</v>
      </c>
      <c r="BD109" s="43" t="s">
        <v>276</v>
      </c>
      <c r="BE109" s="56" t="s">
        <v>5</v>
      </c>
      <c r="BF109" s="33" t="s">
        <v>313</v>
      </c>
      <c r="BG109" s="33" t="s">
        <v>381</v>
      </c>
      <c r="BH109" s="33">
        <v>0.25</v>
      </c>
      <c r="BI109" s="33">
        <v>0.28000000000000003</v>
      </c>
    </row>
    <row r="110" spans="1:82" ht="20.100000000000001" customHeight="1" thickBot="1" x14ac:dyDescent="0.3">
      <c r="A110" s="4"/>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4"/>
      <c r="BC110" s="43" t="str">
        <f>BD110&amp;BE110&amp;BF110&amp;BG110</f>
        <v>VII = Versammlungslokalemrenoz</v>
      </c>
      <c r="BD110" s="43" t="s">
        <v>276</v>
      </c>
      <c r="BE110" s="56" t="s">
        <v>8</v>
      </c>
      <c r="BF110" s="33" t="s">
        <v>313</v>
      </c>
      <c r="BG110" s="33" t="s">
        <v>381</v>
      </c>
      <c r="BH110" s="33">
        <v>0.25</v>
      </c>
      <c r="BI110" s="33">
        <v>0.28000000000000003</v>
      </c>
    </row>
    <row r="111" spans="1:82" ht="17.25" customHeight="1" x14ac:dyDescent="0.25">
      <c r="A111" s="4"/>
      <c r="B111" s="38" t="s">
        <v>376</v>
      </c>
      <c r="C111" s="38"/>
      <c r="D111" s="38"/>
      <c r="E111" s="38"/>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BC111" s="43" t="str">
        <f>BD111&amp;BE111&amp;BF111&amp;BG111</f>
        <v>VII = Versammlungslokalesrenoz</v>
      </c>
      <c r="BD111" s="43" t="s">
        <v>276</v>
      </c>
      <c r="BE111" s="56" t="s">
        <v>11</v>
      </c>
      <c r="BF111" s="33" t="s">
        <v>313</v>
      </c>
      <c r="BG111" s="33" t="s">
        <v>381</v>
      </c>
      <c r="BH111" s="33">
        <v>0.25</v>
      </c>
      <c r="BI111" s="33">
        <v>0.28000000000000003</v>
      </c>
    </row>
    <row r="112" spans="1:82" ht="17.25" customHeight="1" x14ac:dyDescent="0.25">
      <c r="A112" s="4"/>
      <c r="B112" s="4"/>
      <c r="C112" s="4" t="s">
        <v>377</v>
      </c>
      <c r="D112" s="4"/>
      <c r="E112" s="4"/>
      <c r="F112" s="4"/>
      <c r="G112" s="4"/>
      <c r="H112" s="4"/>
      <c r="I112" s="4"/>
      <c r="J112" s="4"/>
      <c r="K112" s="4"/>
      <c r="L112" s="4"/>
      <c r="M112" s="4"/>
      <c r="N112" s="4"/>
      <c r="O112" s="4"/>
      <c r="P112" s="4"/>
      <c r="Q112" s="4"/>
      <c r="R112" s="4"/>
      <c r="S112" s="4"/>
      <c r="T112" s="4"/>
      <c r="U112" s="4"/>
      <c r="V112" s="50" t="s">
        <v>354</v>
      </c>
      <c r="W112" s="4"/>
      <c r="X112" s="4"/>
      <c r="Y112" s="4"/>
      <c r="Z112" s="4"/>
      <c r="AA112" s="4"/>
      <c r="AB112" s="4"/>
      <c r="AC112" s="4"/>
      <c r="AD112" s="4"/>
      <c r="AE112" s="4"/>
      <c r="AF112" s="4"/>
      <c r="AG112" s="4"/>
      <c r="AH112" s="4"/>
      <c r="AI112" s="4"/>
      <c r="AJ112" s="4"/>
      <c r="AK112" s="4"/>
      <c r="AL112" s="4"/>
      <c r="BC112" s="43" t="str">
        <f t="shared" si="1"/>
        <v>VII = Versammlungslokalefenrenoz</v>
      </c>
      <c r="BD112" s="43" t="s">
        <v>276</v>
      </c>
      <c r="BE112" s="56" t="s">
        <v>12</v>
      </c>
      <c r="BF112" s="33" t="s">
        <v>313</v>
      </c>
      <c r="BG112" s="33" t="s">
        <v>381</v>
      </c>
      <c r="BH112" s="33" t="s">
        <v>145</v>
      </c>
      <c r="BI112" s="33" t="s">
        <v>146</v>
      </c>
    </row>
    <row r="113" spans="1:61" ht="17.25" customHeight="1" x14ac:dyDescent="0.25">
      <c r="A113" s="4"/>
      <c r="B113" s="4"/>
      <c r="C113" s="4" t="s">
        <v>353</v>
      </c>
      <c r="D113" s="4"/>
      <c r="E113" s="4"/>
      <c r="F113" s="4"/>
      <c r="G113" s="4"/>
      <c r="H113" s="4"/>
      <c r="I113" s="4"/>
      <c r="J113" s="4"/>
      <c r="K113" s="4"/>
      <c r="L113" s="4"/>
      <c r="M113" s="4"/>
      <c r="N113" s="4"/>
      <c r="O113" s="4"/>
      <c r="P113" s="4"/>
      <c r="Q113" s="4"/>
      <c r="R113" s="4"/>
      <c r="S113" s="4"/>
      <c r="T113" s="4"/>
      <c r="U113" s="4"/>
      <c r="V113" s="279"/>
      <c r="W113" s="279"/>
      <c r="X113" s="279"/>
      <c r="Y113" s="279"/>
      <c r="Z113" s="279"/>
      <c r="AA113" s="279"/>
      <c r="AB113" s="279"/>
      <c r="AC113" s="279"/>
      <c r="AD113" s="279"/>
      <c r="AE113" s="279"/>
      <c r="AF113" s="279"/>
      <c r="AG113" s="279"/>
      <c r="AH113" s="279"/>
      <c r="AI113" s="279"/>
      <c r="AJ113" s="279"/>
      <c r="AK113" s="279"/>
      <c r="AL113" s="4"/>
      <c r="BC113" s="43" t="str">
        <f t="shared" si="1"/>
        <v>VII = Versammlungslokaleportesrenoz</v>
      </c>
      <c r="BD113" s="43" t="s">
        <v>276</v>
      </c>
      <c r="BE113" s="56" t="s">
        <v>15</v>
      </c>
      <c r="BF113" s="33" t="s">
        <v>313</v>
      </c>
      <c r="BG113" s="33" t="s">
        <v>381</v>
      </c>
      <c r="BH113" s="33">
        <v>1.2</v>
      </c>
      <c r="BI113" s="33">
        <v>1.5</v>
      </c>
    </row>
    <row r="114" spans="1:61" ht="17.25" customHeight="1" x14ac:dyDescent="0.25">
      <c r="A114" s="4"/>
      <c r="B114" s="4"/>
      <c r="C114" s="4" t="s">
        <v>352</v>
      </c>
      <c r="D114" s="4"/>
      <c r="E114" s="4"/>
      <c r="F114" s="4"/>
      <c r="G114" s="4"/>
      <c r="H114" s="4"/>
      <c r="I114" s="4"/>
      <c r="J114" s="4"/>
      <c r="K114" s="4"/>
      <c r="L114" s="4"/>
      <c r="M114" s="4"/>
      <c r="N114" s="4"/>
      <c r="O114" s="4"/>
      <c r="P114" s="4"/>
      <c r="Q114" s="4"/>
      <c r="R114" s="4"/>
      <c r="S114" s="4"/>
      <c r="T114" s="4"/>
      <c r="U114" s="4"/>
      <c r="V114" s="232"/>
      <c r="W114" s="232"/>
      <c r="X114" s="232"/>
      <c r="Y114" s="232"/>
      <c r="Z114" s="232"/>
      <c r="AA114" s="232"/>
      <c r="AB114" s="232"/>
      <c r="AC114" s="232"/>
      <c r="AD114" s="232"/>
      <c r="AE114" s="232"/>
      <c r="AF114" s="232"/>
      <c r="AG114" s="232"/>
      <c r="AH114" s="232"/>
      <c r="AI114" s="232"/>
      <c r="AJ114" s="232"/>
      <c r="AK114" s="232"/>
      <c r="AL114" s="4"/>
      <c r="BC114" s="43" t="str">
        <f t="shared" si="1"/>
        <v>VII = Versammlungslokalep343renoz</v>
      </c>
      <c r="BD114" s="43" t="s">
        <v>276</v>
      </c>
      <c r="BE114" s="56" t="s">
        <v>16</v>
      </c>
      <c r="BF114" s="33" t="s">
        <v>313</v>
      </c>
      <c r="BG114" s="33" t="s">
        <v>381</v>
      </c>
      <c r="BH114" s="33">
        <v>1.7</v>
      </c>
      <c r="BI114" s="33">
        <v>2</v>
      </c>
    </row>
    <row r="115" spans="1:61" ht="17.25" customHeight="1" x14ac:dyDescent="0.25">
      <c r="A115" s="4"/>
      <c r="B115" s="4"/>
      <c r="C115" s="4" t="s">
        <v>351</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BC115" s="43" t="str">
        <f t="shared" si="1"/>
        <v>VII = Versammlungslokalestoresrenoz</v>
      </c>
      <c r="BD115" s="43" t="s">
        <v>276</v>
      </c>
      <c r="BE115" s="56" t="s">
        <v>19</v>
      </c>
      <c r="BF115" s="33" t="s">
        <v>313</v>
      </c>
      <c r="BG115" s="33" t="s">
        <v>381</v>
      </c>
      <c r="BH115" s="33">
        <v>0.5</v>
      </c>
      <c r="BI115" s="33">
        <v>0.5</v>
      </c>
    </row>
    <row r="116" spans="1:61" ht="17.45" customHeight="1" x14ac:dyDescent="0.25">
      <c r="A116" s="4"/>
      <c r="B116" s="4"/>
      <c r="C116" s="4" t="s">
        <v>350</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BC116" s="43" t="str">
        <f t="shared" si="1"/>
        <v>VIII = Spitälertpneuz</v>
      </c>
      <c r="BD116" s="43" t="s">
        <v>277</v>
      </c>
      <c r="BE116" s="56" t="s">
        <v>5</v>
      </c>
      <c r="BF116" s="33" t="s">
        <v>312</v>
      </c>
      <c r="BG116" s="33" t="s">
        <v>381</v>
      </c>
      <c r="BH116" s="33">
        <v>0.15300000000000002</v>
      </c>
      <c r="BI116" s="33">
        <v>0.22500000000000001</v>
      </c>
    </row>
    <row r="117" spans="1:61" ht="17.45" customHeight="1" x14ac:dyDescent="0.25">
      <c r="A117" s="4"/>
      <c r="B117" s="4"/>
      <c r="C117" s="4" t="s">
        <v>347</v>
      </c>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BC117" s="43" t="str">
        <f>BD117&amp;BE117&amp;BF117&amp;BG117</f>
        <v>VIII = Spitälermneuz</v>
      </c>
      <c r="BD117" s="43" t="s">
        <v>277</v>
      </c>
      <c r="BE117" s="56" t="s">
        <v>8</v>
      </c>
      <c r="BF117" s="33" t="s">
        <v>312</v>
      </c>
      <c r="BG117" s="33" t="s">
        <v>381</v>
      </c>
      <c r="BH117" s="33">
        <v>0.15300000000000002</v>
      </c>
      <c r="BI117" s="33">
        <v>0.22500000000000001</v>
      </c>
    </row>
    <row r="118" spans="1:61" ht="17.45" customHeight="1" x14ac:dyDescent="0.25">
      <c r="A118" s="4"/>
      <c r="B118" s="4"/>
      <c r="C118" s="4" t="s">
        <v>348</v>
      </c>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BC118" s="43" t="str">
        <f>BD118&amp;BE118&amp;BF118&amp;BG118</f>
        <v>VIII = Spitälersneuz</v>
      </c>
      <c r="BD118" s="43" t="s">
        <v>277</v>
      </c>
      <c r="BE118" s="56" t="s">
        <v>11</v>
      </c>
      <c r="BF118" s="33" t="s">
        <v>312</v>
      </c>
      <c r="BG118" s="33" t="s">
        <v>381</v>
      </c>
      <c r="BH118" s="33">
        <v>0.15300000000000002</v>
      </c>
      <c r="BI118" s="33">
        <v>0.22500000000000001</v>
      </c>
    </row>
    <row r="119" spans="1:61" ht="17.45" customHeight="1" thickBot="1" x14ac:dyDescent="0.3">
      <c r="A119" s="4"/>
      <c r="B119" s="6"/>
      <c r="C119" s="6" t="s">
        <v>349</v>
      </c>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4"/>
      <c r="BC119" s="43" t="str">
        <f t="shared" si="1"/>
        <v>VIII = Spitälerfenneuz</v>
      </c>
      <c r="BD119" s="43" t="s">
        <v>277</v>
      </c>
      <c r="BE119" s="56" t="s">
        <v>12</v>
      </c>
      <c r="BF119" s="33" t="s">
        <v>312</v>
      </c>
      <c r="BG119" s="33" t="s">
        <v>381</v>
      </c>
      <c r="BH119" s="33" t="s">
        <v>165</v>
      </c>
      <c r="BI119" s="33" t="s">
        <v>165</v>
      </c>
    </row>
    <row r="120" spans="1:61" ht="17.4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BC120" s="43" t="str">
        <f t="shared" si="1"/>
        <v>VIII = Spitälerportesneuz</v>
      </c>
      <c r="BD120" s="43" t="s">
        <v>277</v>
      </c>
      <c r="BE120" s="56" t="s">
        <v>15</v>
      </c>
      <c r="BF120" s="33" t="s">
        <v>312</v>
      </c>
      <c r="BG120" s="33" t="s">
        <v>381</v>
      </c>
      <c r="BH120" s="33">
        <v>1.08</v>
      </c>
      <c r="BI120" s="33">
        <v>1.08</v>
      </c>
    </row>
    <row r="121" spans="1:61" ht="17.45" customHeight="1" x14ac:dyDescent="0.25">
      <c r="A121" s="4"/>
      <c r="B121" s="154" t="s">
        <v>332</v>
      </c>
      <c r="C121" s="154"/>
      <c r="D121" s="154"/>
      <c r="E121" s="154"/>
      <c r="F121" s="154"/>
      <c r="G121" s="155"/>
      <c r="H121" s="156" t="s">
        <v>331</v>
      </c>
      <c r="I121" s="157"/>
      <c r="J121" s="157"/>
      <c r="K121" s="157"/>
      <c r="L121" s="157"/>
      <c r="M121" s="157"/>
      <c r="N121" s="157"/>
      <c r="O121" s="157"/>
      <c r="P121" s="157"/>
      <c r="Q121" s="157"/>
      <c r="R121" s="157"/>
      <c r="S121" s="157"/>
      <c r="T121" s="157"/>
      <c r="U121" s="157"/>
      <c r="V121" s="158"/>
      <c r="W121" s="162" t="s">
        <v>356</v>
      </c>
      <c r="X121" s="163"/>
      <c r="Y121" s="163"/>
      <c r="Z121" s="163"/>
      <c r="AA121" s="163"/>
      <c r="AB121" s="163"/>
      <c r="AC121" s="163"/>
      <c r="AD121" s="163"/>
      <c r="AE121" s="163"/>
      <c r="AF121" s="163"/>
      <c r="AG121" s="163"/>
      <c r="AH121" s="163"/>
      <c r="AI121" s="163"/>
      <c r="AJ121" s="163"/>
      <c r="AK121" s="164"/>
      <c r="AL121" s="4"/>
      <c r="BC121" s="43" t="str">
        <f t="shared" si="1"/>
        <v>VIII = Spitälerp343neuz</v>
      </c>
      <c r="BD121" s="43" t="s">
        <v>277</v>
      </c>
      <c r="BE121" s="56" t="s">
        <v>16</v>
      </c>
      <c r="BF121" s="33" t="s">
        <v>312</v>
      </c>
      <c r="BG121" s="33" t="s">
        <v>381</v>
      </c>
      <c r="BH121" s="33">
        <v>0.63</v>
      </c>
      <c r="BI121" s="33">
        <v>0.63</v>
      </c>
    </row>
    <row r="122" spans="1:61" ht="17.45" customHeight="1" x14ac:dyDescent="0.25">
      <c r="A122" s="4"/>
      <c r="B122" s="27"/>
      <c r="C122" s="27"/>
      <c r="D122" s="27"/>
      <c r="E122" s="27"/>
      <c r="F122" s="27"/>
      <c r="G122" s="27"/>
      <c r="H122" s="159"/>
      <c r="I122" s="160"/>
      <c r="J122" s="160"/>
      <c r="K122" s="160"/>
      <c r="L122" s="160"/>
      <c r="M122" s="160"/>
      <c r="N122" s="160"/>
      <c r="O122" s="160"/>
      <c r="P122" s="160"/>
      <c r="Q122" s="160"/>
      <c r="R122" s="160"/>
      <c r="S122" s="160"/>
      <c r="T122" s="160"/>
      <c r="U122" s="160"/>
      <c r="V122" s="161"/>
      <c r="W122" s="165"/>
      <c r="X122" s="166"/>
      <c r="Y122" s="166"/>
      <c r="Z122" s="166"/>
      <c r="AA122" s="166"/>
      <c r="AB122" s="166"/>
      <c r="AC122" s="166"/>
      <c r="AD122" s="166"/>
      <c r="AE122" s="166"/>
      <c r="AF122" s="166"/>
      <c r="AG122" s="166"/>
      <c r="AH122" s="166"/>
      <c r="AI122" s="166"/>
      <c r="AJ122" s="166"/>
      <c r="AK122" s="167"/>
      <c r="AL122" s="4"/>
      <c r="BC122" s="43" t="str">
        <f t="shared" si="1"/>
        <v>VIII = Spitälerstoresneuz</v>
      </c>
      <c r="BD122" s="43" t="s">
        <v>277</v>
      </c>
      <c r="BE122" s="56" t="s">
        <v>19</v>
      </c>
      <c r="BF122" s="33" t="s">
        <v>312</v>
      </c>
      <c r="BG122" s="33" t="s">
        <v>381</v>
      </c>
      <c r="BH122" s="33">
        <v>0.45</v>
      </c>
      <c r="BI122" s="33">
        <v>0.45</v>
      </c>
    </row>
    <row r="123" spans="1:61" ht="17.45" customHeight="1" x14ac:dyDescent="0.25">
      <c r="A123" s="4"/>
      <c r="B123" s="150" t="s">
        <v>333</v>
      </c>
      <c r="C123" s="150"/>
      <c r="D123" s="150"/>
      <c r="E123" s="150"/>
      <c r="F123" s="150"/>
      <c r="G123" s="151"/>
      <c r="H123" s="313"/>
      <c r="I123" s="314"/>
      <c r="J123" s="314"/>
      <c r="K123" s="314"/>
      <c r="L123" s="314"/>
      <c r="M123" s="314"/>
      <c r="N123" s="314"/>
      <c r="O123" s="314"/>
      <c r="P123" s="314"/>
      <c r="Q123" s="314"/>
      <c r="R123" s="314"/>
      <c r="S123" s="314"/>
      <c r="T123" s="314"/>
      <c r="U123" s="314"/>
      <c r="V123" s="315"/>
      <c r="W123" s="316"/>
      <c r="X123" s="317"/>
      <c r="Y123" s="317"/>
      <c r="Z123" s="317"/>
      <c r="AA123" s="317"/>
      <c r="AB123" s="317"/>
      <c r="AC123" s="317"/>
      <c r="AD123" s="317"/>
      <c r="AE123" s="317"/>
      <c r="AF123" s="317"/>
      <c r="AG123" s="317"/>
      <c r="AH123" s="317"/>
      <c r="AI123" s="317"/>
      <c r="AJ123" s="317"/>
      <c r="AK123" s="318"/>
      <c r="AL123" s="4"/>
      <c r="BC123" s="43" t="str">
        <f t="shared" si="1"/>
        <v>VIII = Spitälertprenoz</v>
      </c>
      <c r="BD123" s="43" t="s">
        <v>277</v>
      </c>
      <c r="BE123" s="56" t="s">
        <v>5</v>
      </c>
      <c r="BF123" s="33" t="s">
        <v>313</v>
      </c>
      <c r="BG123" s="33" t="s">
        <v>381</v>
      </c>
      <c r="BH123" s="33">
        <v>0.22500000000000001</v>
      </c>
      <c r="BI123" s="33">
        <v>0.252</v>
      </c>
    </row>
    <row r="124" spans="1:61" ht="17.45" customHeight="1" x14ac:dyDescent="0.25">
      <c r="A124" s="4"/>
      <c r="B124" s="150"/>
      <c r="C124" s="150"/>
      <c r="D124" s="150"/>
      <c r="E124" s="150"/>
      <c r="F124" s="150"/>
      <c r="G124" s="151"/>
      <c r="H124" s="319"/>
      <c r="I124" s="320"/>
      <c r="J124" s="320"/>
      <c r="K124" s="320"/>
      <c r="L124" s="320"/>
      <c r="M124" s="320"/>
      <c r="N124" s="320"/>
      <c r="O124" s="320"/>
      <c r="P124" s="320"/>
      <c r="Q124" s="320"/>
      <c r="R124" s="320"/>
      <c r="S124" s="320"/>
      <c r="T124" s="320"/>
      <c r="U124" s="320"/>
      <c r="V124" s="321"/>
      <c r="W124" s="322"/>
      <c r="X124" s="323"/>
      <c r="Y124" s="323"/>
      <c r="Z124" s="323"/>
      <c r="AA124" s="323"/>
      <c r="AB124" s="323"/>
      <c r="AC124" s="323"/>
      <c r="AD124" s="323"/>
      <c r="AE124" s="323"/>
      <c r="AF124" s="323"/>
      <c r="AG124" s="323"/>
      <c r="AH124" s="323"/>
      <c r="AI124" s="323"/>
      <c r="AJ124" s="323"/>
      <c r="AK124" s="324"/>
      <c r="AL124" s="4"/>
      <c r="BC124" s="43" t="str">
        <f>BD124&amp;BE124&amp;BF124&amp;BG124</f>
        <v>VIII = Spitälermrenoz</v>
      </c>
      <c r="BD124" s="43" t="s">
        <v>277</v>
      </c>
      <c r="BE124" s="56" t="s">
        <v>8</v>
      </c>
      <c r="BF124" s="33" t="s">
        <v>313</v>
      </c>
      <c r="BG124" s="33" t="s">
        <v>381</v>
      </c>
      <c r="BH124" s="33">
        <v>0.22500000000000001</v>
      </c>
      <c r="BI124" s="33">
        <v>0.252</v>
      </c>
    </row>
    <row r="125" spans="1:61" ht="16.5" customHeight="1" x14ac:dyDescent="0.25">
      <c r="A125" s="4"/>
      <c r="B125" s="148" t="s">
        <v>334</v>
      </c>
      <c r="C125" s="148"/>
      <c r="D125" s="148"/>
      <c r="E125" s="148"/>
      <c r="F125" s="148"/>
      <c r="G125" s="149"/>
      <c r="H125" s="325"/>
      <c r="I125" s="288"/>
      <c r="J125" s="288"/>
      <c r="K125" s="288"/>
      <c r="L125" s="288"/>
      <c r="M125" s="288"/>
      <c r="N125" s="288"/>
      <c r="O125" s="288"/>
      <c r="P125" s="288"/>
      <c r="Q125" s="288"/>
      <c r="R125" s="288"/>
      <c r="S125" s="288"/>
      <c r="T125" s="288"/>
      <c r="U125" s="288"/>
      <c r="V125" s="326"/>
      <c r="W125" s="327"/>
      <c r="X125" s="328"/>
      <c r="Y125" s="328"/>
      <c r="Z125" s="328"/>
      <c r="AA125" s="328"/>
      <c r="AB125" s="328"/>
      <c r="AC125" s="328"/>
      <c r="AD125" s="328"/>
      <c r="AE125" s="328"/>
      <c r="AF125" s="328"/>
      <c r="AG125" s="328"/>
      <c r="AH125" s="328"/>
      <c r="AI125" s="328"/>
      <c r="AJ125" s="328"/>
      <c r="AK125" s="329"/>
      <c r="AL125" s="4"/>
      <c r="BC125" s="43" t="str">
        <f>BD125&amp;BE125&amp;BF125&amp;BG125</f>
        <v>VIII = Spitälersrenoz</v>
      </c>
      <c r="BD125" s="43" t="s">
        <v>277</v>
      </c>
      <c r="BE125" s="56" t="s">
        <v>11</v>
      </c>
      <c r="BF125" s="33" t="s">
        <v>313</v>
      </c>
      <c r="BG125" s="33" t="s">
        <v>381</v>
      </c>
      <c r="BH125" s="33">
        <v>0.22500000000000001</v>
      </c>
      <c r="BI125" s="33">
        <v>0.252</v>
      </c>
    </row>
    <row r="126" spans="1:61" ht="16.5" customHeight="1" x14ac:dyDescent="0.25">
      <c r="A126" s="4"/>
      <c r="B126" s="148" t="s">
        <v>335</v>
      </c>
      <c r="C126" s="148"/>
      <c r="D126" s="148"/>
      <c r="E126" s="148"/>
      <c r="F126" s="148"/>
      <c r="G126" s="149"/>
      <c r="H126" s="325"/>
      <c r="I126" s="288"/>
      <c r="J126" s="288"/>
      <c r="K126" s="288"/>
      <c r="L126" s="288"/>
      <c r="M126" s="288"/>
      <c r="N126" s="288"/>
      <c r="O126" s="288"/>
      <c r="P126" s="288"/>
      <c r="Q126" s="288"/>
      <c r="R126" s="288"/>
      <c r="S126" s="288"/>
      <c r="T126" s="288"/>
      <c r="U126" s="288"/>
      <c r="V126" s="326"/>
      <c r="W126" s="327"/>
      <c r="X126" s="328"/>
      <c r="Y126" s="328"/>
      <c r="Z126" s="328"/>
      <c r="AA126" s="328"/>
      <c r="AB126" s="328"/>
      <c r="AC126" s="328"/>
      <c r="AD126" s="328"/>
      <c r="AE126" s="328"/>
      <c r="AF126" s="328"/>
      <c r="AG126" s="328"/>
      <c r="AH126" s="328"/>
      <c r="AI126" s="328"/>
      <c r="AJ126" s="328"/>
      <c r="AK126" s="329"/>
      <c r="AL126" s="4"/>
      <c r="BC126" s="43" t="str">
        <f t="shared" si="1"/>
        <v>VIII = Spitälerfenrenoz</v>
      </c>
      <c r="BD126" s="43" t="s">
        <v>277</v>
      </c>
      <c r="BE126" s="56" t="s">
        <v>12</v>
      </c>
      <c r="BF126" s="33" t="s">
        <v>313</v>
      </c>
      <c r="BG126" s="33" t="s">
        <v>381</v>
      </c>
      <c r="BH126" s="33" t="s">
        <v>161</v>
      </c>
      <c r="BI126" s="33" t="s">
        <v>161</v>
      </c>
    </row>
    <row r="127" spans="1:61" ht="16.5" customHeight="1" x14ac:dyDescent="0.25">
      <c r="A127" s="4"/>
      <c r="B127" s="150" t="s">
        <v>336</v>
      </c>
      <c r="C127" s="150"/>
      <c r="D127" s="150"/>
      <c r="E127" s="150"/>
      <c r="F127" s="150"/>
      <c r="G127" s="151"/>
      <c r="H127" s="330"/>
      <c r="I127" s="331"/>
      <c r="J127" s="331"/>
      <c r="K127" s="331"/>
      <c r="L127" s="331"/>
      <c r="M127" s="331"/>
      <c r="N127" s="331"/>
      <c r="O127" s="331"/>
      <c r="P127" s="331"/>
      <c r="Q127" s="331"/>
      <c r="R127" s="331"/>
      <c r="S127" s="331"/>
      <c r="T127" s="331"/>
      <c r="U127" s="331"/>
      <c r="V127" s="332"/>
      <c r="W127" s="333"/>
      <c r="X127" s="334"/>
      <c r="Y127" s="334"/>
      <c r="Z127" s="334"/>
      <c r="AA127" s="334"/>
      <c r="AB127" s="334"/>
      <c r="AC127" s="334"/>
      <c r="AD127" s="334"/>
      <c r="AE127" s="334"/>
      <c r="AF127" s="334"/>
      <c r="AG127" s="334"/>
      <c r="AH127" s="334"/>
      <c r="AI127" s="334"/>
      <c r="AJ127" s="334"/>
      <c r="AK127" s="335"/>
      <c r="AL127" s="4"/>
      <c r="BC127" s="43" t="str">
        <f t="shared" si="1"/>
        <v>VIII = Spitälerportesrenoz</v>
      </c>
      <c r="BD127" s="43" t="s">
        <v>277</v>
      </c>
      <c r="BE127" s="56" t="s">
        <v>15</v>
      </c>
      <c r="BF127" s="33" t="s">
        <v>313</v>
      </c>
      <c r="BG127" s="33" t="s">
        <v>381</v>
      </c>
      <c r="BH127" s="33">
        <v>1.35</v>
      </c>
      <c r="BI127" s="33">
        <v>1.35</v>
      </c>
    </row>
    <row r="128" spans="1:61" ht="16.5" customHeight="1" x14ac:dyDescent="0.25">
      <c r="A128" s="4"/>
      <c r="B128" s="150"/>
      <c r="C128" s="150"/>
      <c r="D128" s="150"/>
      <c r="E128" s="150"/>
      <c r="F128" s="150"/>
      <c r="G128" s="151"/>
      <c r="H128" s="336"/>
      <c r="I128" s="337"/>
      <c r="J128" s="337"/>
      <c r="K128" s="337"/>
      <c r="L128" s="337"/>
      <c r="M128" s="337"/>
      <c r="N128" s="337"/>
      <c r="O128" s="337"/>
      <c r="P128" s="337"/>
      <c r="Q128" s="337"/>
      <c r="R128" s="337"/>
      <c r="S128" s="337"/>
      <c r="T128" s="337"/>
      <c r="U128" s="337"/>
      <c r="V128" s="338"/>
      <c r="W128" s="339"/>
      <c r="X128" s="340"/>
      <c r="Y128" s="340"/>
      <c r="Z128" s="340"/>
      <c r="AA128" s="340"/>
      <c r="AB128" s="340"/>
      <c r="AC128" s="340"/>
      <c r="AD128" s="340"/>
      <c r="AE128" s="340"/>
      <c r="AF128" s="340"/>
      <c r="AG128" s="340"/>
      <c r="AH128" s="340"/>
      <c r="AI128" s="340"/>
      <c r="AJ128" s="340"/>
      <c r="AK128" s="341"/>
      <c r="AL128" s="4"/>
      <c r="BC128" s="43" t="str">
        <f t="shared" si="1"/>
        <v>VIII = Spitälerp343renoz</v>
      </c>
      <c r="BD128" s="43" t="s">
        <v>277</v>
      </c>
      <c r="BE128" s="56" t="s">
        <v>16</v>
      </c>
      <c r="BF128" s="33" t="s">
        <v>313</v>
      </c>
      <c r="BG128" s="33" t="s">
        <v>381</v>
      </c>
      <c r="BH128" s="33">
        <v>1.8</v>
      </c>
      <c r="BI128" s="33">
        <v>1.8</v>
      </c>
    </row>
    <row r="129" spans="1:82" ht="16.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10" t="s">
        <v>379</v>
      </c>
      <c r="AL129" s="4"/>
      <c r="BC129" s="43" t="str">
        <f t="shared" si="1"/>
        <v>VIII = Spitälerstoresrenoz</v>
      </c>
      <c r="BD129" s="43" t="s">
        <v>277</v>
      </c>
      <c r="BE129" s="56" t="s">
        <v>19</v>
      </c>
      <c r="BF129" s="33" t="s">
        <v>313</v>
      </c>
      <c r="BG129" s="33" t="s">
        <v>381</v>
      </c>
      <c r="BH129" s="33">
        <v>0.45</v>
      </c>
      <c r="BI129" s="33">
        <v>0.45</v>
      </c>
    </row>
    <row r="130" spans="1:82" ht="16.5" hidden="1" customHeight="1" x14ac:dyDescent="0.25">
      <c r="A130" s="51"/>
      <c r="B130" s="51"/>
      <c r="C130" s="51"/>
      <c r="D130" s="51"/>
      <c r="E130" s="51"/>
      <c r="F130" s="51"/>
      <c r="G130" s="51"/>
      <c r="H130" s="51"/>
      <c r="I130" s="51"/>
      <c r="J130" s="51"/>
      <c r="K130" s="51"/>
      <c r="L130" s="51"/>
      <c r="M130" s="51"/>
      <c r="N130" s="51"/>
      <c r="O130" s="51"/>
      <c r="P130" s="51"/>
      <c r="Q130" s="51"/>
      <c r="R130" s="51"/>
      <c r="S130" s="51"/>
      <c r="T130" s="51"/>
      <c r="U130" s="51" t="s">
        <v>257</v>
      </c>
      <c r="V130" s="51"/>
      <c r="W130" s="51"/>
      <c r="X130" s="51"/>
      <c r="Y130" s="51"/>
      <c r="Z130" s="51"/>
      <c r="AA130" s="51"/>
      <c r="AB130" s="51"/>
      <c r="AC130" s="51"/>
      <c r="AD130" s="51"/>
      <c r="AE130" s="51"/>
      <c r="AF130" s="51"/>
      <c r="AG130" s="51"/>
      <c r="AH130" s="51"/>
      <c r="AI130" s="51"/>
      <c r="AJ130" s="51"/>
      <c r="AK130" s="51"/>
      <c r="AL130" s="51"/>
      <c r="BC130" s="43" t="str">
        <f t="shared" si="1"/>
        <v>IX = Industrietpneuz</v>
      </c>
      <c r="BD130" s="43" t="s">
        <v>278</v>
      </c>
      <c r="BE130" s="56" t="s">
        <v>5</v>
      </c>
      <c r="BF130" s="33" t="s">
        <v>312</v>
      </c>
      <c r="BG130" s="33" t="s">
        <v>381</v>
      </c>
      <c r="BH130" s="33">
        <v>0.187</v>
      </c>
      <c r="BI130" s="33">
        <v>0.27500000000000002</v>
      </c>
    </row>
    <row r="131" spans="1:82" ht="16.5" hidden="1" customHeight="1" x14ac:dyDescent="0.25">
      <c r="A131" s="51"/>
      <c r="B131" s="51"/>
      <c r="C131" s="51"/>
      <c r="D131" s="51"/>
      <c r="E131" s="51"/>
      <c r="F131" s="51"/>
      <c r="G131" s="51"/>
      <c r="H131" s="51"/>
      <c r="I131" s="51"/>
      <c r="J131" s="51"/>
      <c r="K131" s="43" t="s">
        <v>257</v>
      </c>
      <c r="L131" s="51"/>
      <c r="M131" s="51"/>
      <c r="N131" s="51"/>
      <c r="O131" s="51"/>
      <c r="P131" s="51"/>
      <c r="Q131" s="51"/>
      <c r="R131" s="51"/>
      <c r="S131" s="51"/>
      <c r="T131" s="51"/>
      <c r="U131" s="51" t="s">
        <v>258</v>
      </c>
      <c r="V131" s="51"/>
      <c r="W131" s="51"/>
      <c r="X131" s="51"/>
      <c r="Y131" s="51"/>
      <c r="Z131" s="51"/>
      <c r="AA131" s="51"/>
      <c r="AB131" s="51"/>
      <c r="AC131" s="51"/>
      <c r="AD131" s="51"/>
      <c r="AE131" s="51"/>
      <c r="AF131" s="51"/>
      <c r="AG131" s="51"/>
      <c r="AH131" s="51"/>
      <c r="AI131" s="51"/>
      <c r="AJ131" s="51"/>
      <c r="AK131" s="51" t="s">
        <v>7</v>
      </c>
      <c r="AL131" s="51"/>
      <c r="BC131" s="43" t="str">
        <f>BD131&amp;BE131&amp;BF131&amp;BG131</f>
        <v>IX = Industriemneuz</v>
      </c>
      <c r="BD131" s="43" t="s">
        <v>278</v>
      </c>
      <c r="BE131" s="56" t="s">
        <v>8</v>
      </c>
      <c r="BF131" s="33" t="s">
        <v>312</v>
      </c>
      <c r="BG131" s="33" t="s">
        <v>381</v>
      </c>
      <c r="BH131" s="33">
        <v>0.187</v>
      </c>
      <c r="BI131" s="33">
        <v>0.27500000000000002</v>
      </c>
    </row>
    <row r="132" spans="1:82" ht="16.5" hidden="1" customHeight="1" x14ac:dyDescent="0.25">
      <c r="A132" s="51"/>
      <c r="B132" s="51"/>
      <c r="C132" s="51"/>
      <c r="D132" s="51"/>
      <c r="E132" s="51"/>
      <c r="F132" s="51"/>
      <c r="G132" s="51"/>
      <c r="H132" s="51"/>
      <c r="I132" s="51"/>
      <c r="J132" s="51"/>
      <c r="K132" s="43" t="s">
        <v>270</v>
      </c>
      <c r="L132" s="51"/>
      <c r="M132" s="51"/>
      <c r="N132" s="51"/>
      <c r="O132" s="51"/>
      <c r="P132" s="51"/>
      <c r="Q132" s="51"/>
      <c r="R132" s="51"/>
      <c r="S132" s="51"/>
      <c r="T132" s="51"/>
      <c r="U132" s="51" t="s">
        <v>259</v>
      </c>
      <c r="V132" s="51"/>
      <c r="W132" s="51"/>
      <c r="X132" s="51"/>
      <c r="Y132" s="51"/>
      <c r="Z132" s="51"/>
      <c r="AA132" s="51"/>
      <c r="AB132" s="51"/>
      <c r="AC132" s="51"/>
      <c r="AD132" s="51"/>
      <c r="AE132" s="51"/>
      <c r="AF132" s="51"/>
      <c r="AG132" s="51"/>
      <c r="AH132" s="51"/>
      <c r="AI132" s="51"/>
      <c r="AJ132" s="51"/>
      <c r="AK132" s="51" t="s">
        <v>95</v>
      </c>
      <c r="AL132" s="51"/>
      <c r="BC132" s="43" t="str">
        <f>BD132&amp;BE132&amp;BF132&amp;BG132</f>
        <v>IX = Industriesneuz</v>
      </c>
      <c r="BD132" s="43" t="s">
        <v>278</v>
      </c>
      <c r="BE132" s="56" t="s">
        <v>11</v>
      </c>
      <c r="BF132" s="33" t="s">
        <v>312</v>
      </c>
      <c r="BG132" s="33" t="s">
        <v>381</v>
      </c>
      <c r="BH132" s="33">
        <v>0.187</v>
      </c>
      <c r="BI132" s="33">
        <v>0.27500000000000002</v>
      </c>
    </row>
    <row r="133" spans="1:82" ht="16.5" hidden="1" customHeight="1" x14ac:dyDescent="0.25">
      <c r="A133" s="51"/>
      <c r="B133" s="51"/>
      <c r="C133" s="51"/>
      <c r="D133" s="51"/>
      <c r="E133" s="51"/>
      <c r="F133" s="51"/>
      <c r="G133" s="51"/>
      <c r="H133" s="51"/>
      <c r="I133" s="51"/>
      <c r="J133" s="51"/>
      <c r="K133" s="43" t="s">
        <v>271</v>
      </c>
      <c r="L133" s="51"/>
      <c r="M133" s="51"/>
      <c r="N133" s="51"/>
      <c r="O133" s="51"/>
      <c r="P133" s="51"/>
      <c r="Q133" s="51"/>
      <c r="R133" s="51"/>
      <c r="S133" s="51"/>
      <c r="T133" s="51"/>
      <c r="U133" s="51" t="s">
        <v>260</v>
      </c>
      <c r="V133" s="51"/>
      <c r="W133" s="51"/>
      <c r="X133" s="51"/>
      <c r="Y133" s="51"/>
      <c r="Z133" s="51"/>
      <c r="AA133" s="51"/>
      <c r="AB133" s="51"/>
      <c r="AC133" s="51"/>
      <c r="AD133" s="51"/>
      <c r="AE133" s="51"/>
      <c r="AF133" s="51"/>
      <c r="AG133" s="51"/>
      <c r="AH133" s="51"/>
      <c r="AI133" s="51"/>
      <c r="AJ133" s="51"/>
      <c r="AK133" s="51" t="s">
        <v>96</v>
      </c>
      <c r="AL133" s="51"/>
      <c r="BC133" s="43" t="str">
        <f t="shared" si="1"/>
        <v>IX = Industriefenneuz</v>
      </c>
      <c r="BD133" s="43" t="s">
        <v>278</v>
      </c>
      <c r="BE133" s="56" t="s">
        <v>12</v>
      </c>
      <c r="BF133" s="33" t="s">
        <v>312</v>
      </c>
      <c r="BG133" s="33" t="s">
        <v>381</v>
      </c>
      <c r="BH133" s="33" t="s">
        <v>162</v>
      </c>
      <c r="BI133" s="33" t="s">
        <v>162</v>
      </c>
    </row>
    <row r="134" spans="1:82" ht="16.5" hidden="1" customHeight="1" x14ac:dyDescent="0.25">
      <c r="A134" s="51"/>
      <c r="B134" s="51"/>
      <c r="C134" s="51"/>
      <c r="D134" s="51"/>
      <c r="E134" s="51"/>
      <c r="F134" s="51"/>
      <c r="G134" s="51"/>
      <c r="H134" s="51"/>
      <c r="I134" s="51"/>
      <c r="J134" s="51"/>
      <c r="K134" s="43" t="s">
        <v>272</v>
      </c>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BC134" s="43" t="str">
        <f t="shared" si="1"/>
        <v>IX = Industrieportesneuz</v>
      </c>
      <c r="BD134" s="43" t="s">
        <v>278</v>
      </c>
      <c r="BE134" s="56" t="s">
        <v>15</v>
      </c>
      <c r="BF134" s="33" t="s">
        <v>312</v>
      </c>
      <c r="BG134" s="33" t="s">
        <v>381</v>
      </c>
      <c r="BH134" s="33">
        <v>1.3199999999999998</v>
      </c>
      <c r="BI134" s="33">
        <v>1.3199999999999998</v>
      </c>
    </row>
    <row r="135" spans="1:82" ht="16.5" hidden="1" customHeight="1" x14ac:dyDescent="0.25">
      <c r="A135" s="51"/>
      <c r="B135" s="51"/>
      <c r="C135" s="51"/>
      <c r="D135" s="51"/>
      <c r="E135" s="51"/>
      <c r="F135" s="51"/>
      <c r="G135" s="51"/>
      <c r="H135" s="51"/>
      <c r="I135" s="51"/>
      <c r="J135" s="51"/>
      <c r="K135" s="43" t="s">
        <v>273</v>
      </c>
      <c r="L135" s="51"/>
      <c r="M135" s="51"/>
      <c r="N135" s="51"/>
      <c r="O135" s="51"/>
      <c r="P135" s="51"/>
      <c r="Q135" s="51"/>
      <c r="R135" s="51"/>
      <c r="S135" s="51"/>
      <c r="T135" s="51"/>
      <c r="U135" s="51" t="s">
        <v>257</v>
      </c>
      <c r="V135" s="51"/>
      <c r="W135" s="51"/>
      <c r="X135" s="51"/>
      <c r="Y135" s="51"/>
      <c r="Z135" s="51"/>
      <c r="AA135" s="51"/>
      <c r="AB135" s="51"/>
      <c r="AC135" s="51"/>
      <c r="AD135" s="51"/>
      <c r="AE135" s="51"/>
      <c r="AF135" s="51"/>
      <c r="AG135" s="51"/>
      <c r="AH135" s="51"/>
      <c r="AI135" s="51"/>
      <c r="AJ135" s="51"/>
      <c r="AK135" s="51"/>
      <c r="AL135" s="51"/>
      <c r="BC135" s="43" t="str">
        <f t="shared" si="1"/>
        <v>IX = Industriep343neuz</v>
      </c>
      <c r="BD135" s="43" t="s">
        <v>278</v>
      </c>
      <c r="BE135" s="56" t="s">
        <v>16</v>
      </c>
      <c r="BF135" s="33" t="s">
        <v>312</v>
      </c>
      <c r="BG135" s="33" t="s">
        <v>381</v>
      </c>
      <c r="BH135" s="33">
        <v>0.76999999999999991</v>
      </c>
      <c r="BI135" s="33">
        <v>0.76999999999999991</v>
      </c>
    </row>
    <row r="136" spans="1:82" ht="16.5" hidden="1" customHeight="1" x14ac:dyDescent="0.25">
      <c r="A136" s="51"/>
      <c r="B136" s="51"/>
      <c r="C136" s="51"/>
      <c r="D136" s="51"/>
      <c r="E136" s="51"/>
      <c r="F136" s="51"/>
      <c r="G136" s="51"/>
      <c r="H136" s="51"/>
      <c r="I136" s="51"/>
      <c r="J136" s="51"/>
      <c r="K136" s="43" t="s">
        <v>274</v>
      </c>
      <c r="L136" s="51"/>
      <c r="M136" s="51"/>
      <c r="N136" s="51"/>
      <c r="O136" s="51"/>
      <c r="P136" s="51"/>
      <c r="Q136" s="51"/>
      <c r="R136" s="51"/>
      <c r="S136" s="51"/>
      <c r="T136" s="51"/>
      <c r="U136" s="51" t="s">
        <v>261</v>
      </c>
      <c r="V136" s="51"/>
      <c r="W136" s="51"/>
      <c r="X136" s="51"/>
      <c r="Y136" s="51"/>
      <c r="Z136" s="51"/>
      <c r="AA136" s="51"/>
      <c r="AB136" s="51"/>
      <c r="AC136" s="51"/>
      <c r="AD136" s="51"/>
      <c r="AE136" s="51"/>
      <c r="AF136" s="51"/>
      <c r="AG136" s="51"/>
      <c r="AH136" s="51"/>
      <c r="AI136" s="51"/>
      <c r="AJ136" s="51"/>
      <c r="AK136" s="51" t="s">
        <v>97</v>
      </c>
      <c r="AL136" s="51"/>
      <c r="BC136" s="43" t="str">
        <f t="shared" si="1"/>
        <v>IX = Industriestoresneuz</v>
      </c>
      <c r="BD136" s="43" t="s">
        <v>278</v>
      </c>
      <c r="BE136" s="56" t="s">
        <v>19</v>
      </c>
      <c r="BF136" s="33" t="s">
        <v>312</v>
      </c>
      <c r="BG136" s="33" t="s">
        <v>381</v>
      </c>
      <c r="BH136" s="33">
        <v>0.55000000000000004</v>
      </c>
      <c r="BI136" s="33">
        <v>0.55000000000000004</v>
      </c>
    </row>
    <row r="137" spans="1:82" ht="16.5" hidden="1" customHeight="1" x14ac:dyDescent="0.25">
      <c r="A137" s="51"/>
      <c r="B137" s="51"/>
      <c r="C137" s="51"/>
      <c r="D137" s="51"/>
      <c r="E137" s="51"/>
      <c r="F137" s="51"/>
      <c r="G137" s="51"/>
      <c r="H137" s="51"/>
      <c r="I137" s="51"/>
      <c r="J137" s="51"/>
      <c r="K137" s="43" t="s">
        <v>275</v>
      </c>
      <c r="L137" s="51"/>
      <c r="M137" s="51"/>
      <c r="N137" s="51"/>
      <c r="O137" s="51"/>
      <c r="P137" s="51"/>
      <c r="Q137" s="51"/>
      <c r="R137" s="51"/>
      <c r="S137" s="51"/>
      <c r="T137" s="51"/>
      <c r="U137" s="51" t="s">
        <v>262</v>
      </c>
      <c r="V137" s="51"/>
      <c r="W137" s="51"/>
      <c r="X137" s="51"/>
      <c r="Y137" s="51"/>
      <c r="Z137" s="51"/>
      <c r="AA137" s="51"/>
      <c r="AB137" s="51"/>
      <c r="AC137" s="51"/>
      <c r="AD137" s="51"/>
      <c r="AE137" s="51"/>
      <c r="AF137" s="51"/>
      <c r="AG137" s="51"/>
      <c r="AH137" s="51"/>
      <c r="AI137" s="51"/>
      <c r="AJ137" s="51"/>
      <c r="AK137" s="51" t="s">
        <v>98</v>
      </c>
      <c r="AL137" s="51"/>
      <c r="BC137" s="43" t="str">
        <f t="shared" si="1"/>
        <v>IX = Industrietprenoz</v>
      </c>
      <c r="BD137" s="43" t="s">
        <v>278</v>
      </c>
      <c r="BE137" s="56" t="s">
        <v>5</v>
      </c>
      <c r="BF137" s="33" t="s">
        <v>313</v>
      </c>
      <c r="BG137" s="33" t="s">
        <v>381</v>
      </c>
      <c r="BH137" s="33">
        <v>0.27500000000000002</v>
      </c>
      <c r="BI137" s="33">
        <v>0.30800000000000005</v>
      </c>
    </row>
    <row r="138" spans="1:82" ht="16.5" hidden="1" customHeight="1" x14ac:dyDescent="0.25">
      <c r="A138" s="51"/>
      <c r="B138" s="51"/>
      <c r="C138" s="51"/>
      <c r="D138" s="51"/>
      <c r="E138" s="51"/>
      <c r="F138" s="51"/>
      <c r="G138" s="51"/>
      <c r="H138" s="51"/>
      <c r="I138" s="51"/>
      <c r="J138" s="51"/>
      <c r="K138" s="43" t="s">
        <v>276</v>
      </c>
      <c r="L138" s="51"/>
      <c r="M138" s="51"/>
      <c r="N138" s="51"/>
      <c r="O138" s="51"/>
      <c r="P138" s="51"/>
      <c r="Q138" s="51"/>
      <c r="R138" s="51"/>
      <c r="S138" s="51"/>
      <c r="T138" s="51"/>
      <c r="U138" s="51" t="s">
        <v>263</v>
      </c>
      <c r="V138" s="51"/>
      <c r="W138" s="51"/>
      <c r="X138" s="51"/>
      <c r="Y138" s="51"/>
      <c r="Z138" s="51"/>
      <c r="AA138" s="51"/>
      <c r="AB138" s="51"/>
      <c r="AC138" s="51"/>
      <c r="AD138" s="51"/>
      <c r="AE138" s="51"/>
      <c r="AF138" s="51"/>
      <c r="AG138" s="51"/>
      <c r="AH138" s="51"/>
      <c r="AI138" s="51"/>
      <c r="AJ138" s="51"/>
      <c r="AK138" s="51" t="s">
        <v>99</v>
      </c>
      <c r="AL138" s="51"/>
      <c r="BC138" s="43" t="str">
        <f>BD138&amp;BE138&amp;BF138&amp;BG138</f>
        <v>IX = Industriemrenoz</v>
      </c>
      <c r="BD138" s="43" t="s">
        <v>278</v>
      </c>
      <c r="BE138" s="56" t="s">
        <v>8</v>
      </c>
      <c r="BF138" s="33" t="s">
        <v>313</v>
      </c>
      <c r="BG138" s="33" t="s">
        <v>381</v>
      </c>
      <c r="BH138" s="33">
        <v>0.27500000000000002</v>
      </c>
      <c r="BI138" s="33">
        <v>0.30800000000000005</v>
      </c>
    </row>
    <row r="139" spans="1:82" ht="16.5" hidden="1" customHeight="1" x14ac:dyDescent="0.25">
      <c r="A139" s="51"/>
      <c r="B139" s="51"/>
      <c r="C139" s="51"/>
      <c r="D139" s="51"/>
      <c r="E139" s="51"/>
      <c r="F139" s="51"/>
      <c r="G139" s="51"/>
      <c r="H139" s="51"/>
      <c r="I139" s="51"/>
      <c r="J139" s="51"/>
      <c r="K139" s="43" t="s">
        <v>277</v>
      </c>
      <c r="L139" s="51"/>
      <c r="M139" s="51"/>
      <c r="N139" s="51"/>
      <c r="O139" s="51"/>
      <c r="P139" s="51"/>
      <c r="Q139" s="51"/>
      <c r="R139" s="51"/>
      <c r="S139" s="51"/>
      <c r="T139" s="51"/>
      <c r="U139" s="51" t="s">
        <v>264</v>
      </c>
      <c r="V139" s="51"/>
      <c r="W139" s="51"/>
      <c r="X139" s="51"/>
      <c r="Y139" s="51"/>
      <c r="Z139" s="51"/>
      <c r="AA139" s="51"/>
      <c r="AB139" s="51"/>
      <c r="AC139" s="51"/>
      <c r="AD139" s="51"/>
      <c r="AE139" s="51"/>
      <c r="AF139" s="51"/>
      <c r="AG139" s="51"/>
      <c r="AH139" s="51"/>
      <c r="AI139" s="51"/>
      <c r="AJ139" s="51"/>
      <c r="AK139" s="51" t="s">
        <v>25</v>
      </c>
      <c r="AL139" s="51"/>
      <c r="BC139" s="43" t="str">
        <f>BD139&amp;BE139&amp;BF139&amp;BG139</f>
        <v>IX = Industriesrenoz</v>
      </c>
      <c r="BD139" s="43" t="s">
        <v>278</v>
      </c>
      <c r="BE139" s="56" t="s">
        <v>11</v>
      </c>
      <c r="BF139" s="33" t="s">
        <v>313</v>
      </c>
      <c r="BG139" s="33" t="s">
        <v>381</v>
      </c>
      <c r="BH139" s="33">
        <v>0.27500000000000002</v>
      </c>
      <c r="BI139" s="33">
        <v>0.30800000000000005</v>
      </c>
    </row>
    <row r="140" spans="1:82" ht="16.5" hidden="1" customHeight="1" x14ac:dyDescent="0.25">
      <c r="A140" s="51"/>
      <c r="B140" s="51"/>
      <c r="C140" s="51"/>
      <c r="D140" s="51"/>
      <c r="E140" s="53"/>
      <c r="F140" s="51"/>
      <c r="G140" s="51"/>
      <c r="H140" s="51"/>
      <c r="I140" s="51"/>
      <c r="J140" s="51"/>
      <c r="K140" s="43" t="s">
        <v>278</v>
      </c>
      <c r="L140" s="51"/>
      <c r="M140" s="51"/>
      <c r="N140" s="51"/>
      <c r="O140" s="51"/>
      <c r="P140" s="51"/>
      <c r="Q140" s="51"/>
      <c r="R140" s="51"/>
      <c r="S140" s="51"/>
      <c r="T140" s="51"/>
      <c r="U140" s="51" t="s">
        <v>265</v>
      </c>
      <c r="V140" s="51"/>
      <c r="W140" s="51"/>
      <c r="X140" s="51"/>
      <c r="Y140" s="51"/>
      <c r="Z140" s="51"/>
      <c r="AA140" s="51"/>
      <c r="AB140" s="51"/>
      <c r="AC140" s="51"/>
      <c r="AD140" s="51"/>
      <c r="AE140" s="51"/>
      <c r="AF140" s="51"/>
      <c r="AG140" s="51"/>
      <c r="AH140" s="51"/>
      <c r="AI140" s="51"/>
      <c r="AJ140" s="51"/>
      <c r="AK140" s="51" t="s">
        <v>138</v>
      </c>
      <c r="AL140" s="51"/>
      <c r="BC140" s="43" t="str">
        <f t="shared" si="1"/>
        <v>IX = Industriefenrenoz</v>
      </c>
      <c r="BD140" s="43" t="s">
        <v>278</v>
      </c>
      <c r="BE140" s="56" t="s">
        <v>12</v>
      </c>
      <c r="BF140" s="33" t="s">
        <v>313</v>
      </c>
      <c r="BG140" s="33" t="s">
        <v>381</v>
      </c>
      <c r="BH140" s="33" t="s">
        <v>163</v>
      </c>
      <c r="BI140" s="33" t="s">
        <v>163</v>
      </c>
    </row>
    <row r="141" spans="1:82" ht="16.5" hidden="1" customHeight="1" x14ac:dyDescent="0.25">
      <c r="A141" s="51"/>
      <c r="B141" s="51"/>
      <c r="C141" s="51"/>
      <c r="D141" s="51"/>
      <c r="E141" s="51"/>
      <c r="F141" s="51"/>
      <c r="G141" s="51"/>
      <c r="H141" s="51"/>
      <c r="I141" s="51"/>
      <c r="J141" s="51"/>
      <c r="K141" s="43" t="s">
        <v>279</v>
      </c>
      <c r="L141" s="51"/>
      <c r="M141" s="51"/>
      <c r="N141" s="51"/>
      <c r="O141" s="51"/>
      <c r="P141" s="51"/>
      <c r="Q141" s="51"/>
      <c r="R141" s="51"/>
      <c r="S141" s="51"/>
      <c r="T141" s="51"/>
      <c r="U141" s="51" t="s">
        <v>266</v>
      </c>
      <c r="V141" s="51"/>
      <c r="W141" s="51"/>
      <c r="X141" s="51"/>
      <c r="Y141" s="51"/>
      <c r="Z141" s="51"/>
      <c r="AA141" s="51"/>
      <c r="AB141" s="51"/>
      <c r="AC141" s="51"/>
      <c r="AD141" s="51"/>
      <c r="AE141" s="51"/>
      <c r="AF141" s="51"/>
      <c r="AG141" s="51"/>
      <c r="AH141" s="51"/>
      <c r="AI141" s="51"/>
      <c r="AJ141" s="51"/>
      <c r="AK141" s="51" t="s">
        <v>139</v>
      </c>
      <c r="AL141" s="51"/>
      <c r="BC141" s="43" t="str">
        <f t="shared" si="1"/>
        <v>IX = Industrieportesrenoz</v>
      </c>
      <c r="BD141" s="43" t="s">
        <v>278</v>
      </c>
      <c r="BE141" s="56" t="s">
        <v>15</v>
      </c>
      <c r="BF141" s="33" t="s">
        <v>313</v>
      </c>
      <c r="BG141" s="33" t="s">
        <v>381</v>
      </c>
      <c r="BH141" s="33">
        <v>1.65</v>
      </c>
      <c r="BI141" s="33">
        <v>1.65</v>
      </c>
    </row>
    <row r="142" spans="1:82" ht="16.5" hidden="1" customHeight="1" x14ac:dyDescent="0.25">
      <c r="A142" s="51"/>
      <c r="B142" s="51"/>
      <c r="C142" s="51"/>
      <c r="D142" s="51"/>
      <c r="E142" s="51"/>
      <c r="F142" s="51"/>
      <c r="G142" s="51"/>
      <c r="H142" s="51"/>
      <c r="I142" s="51"/>
      <c r="J142" s="51"/>
      <c r="K142" s="43" t="s">
        <v>280</v>
      </c>
      <c r="L142" s="51"/>
      <c r="M142" s="51"/>
      <c r="N142" s="51"/>
      <c r="O142" s="51"/>
      <c r="P142" s="51"/>
      <c r="Q142" s="51"/>
      <c r="R142" s="51"/>
      <c r="S142" s="51"/>
      <c r="T142" s="51"/>
      <c r="U142" s="51" t="s">
        <v>267</v>
      </c>
      <c r="V142" s="51"/>
      <c r="W142" s="51"/>
      <c r="X142" s="51"/>
      <c r="Y142" s="51"/>
      <c r="Z142" s="51"/>
      <c r="AA142" s="51"/>
      <c r="AB142" s="51"/>
      <c r="AC142" s="51"/>
      <c r="AD142" s="51"/>
      <c r="AE142" s="51"/>
      <c r="AF142" s="51"/>
      <c r="AG142" s="51"/>
      <c r="AH142" s="51"/>
      <c r="AI142" s="51"/>
      <c r="AJ142" s="51"/>
      <c r="AK142" s="51" t="s">
        <v>140</v>
      </c>
      <c r="AL142" s="51"/>
      <c r="BC142" s="43" t="str">
        <f t="shared" si="1"/>
        <v>IX = Industriep343renoz</v>
      </c>
      <c r="BD142" s="43" t="s">
        <v>278</v>
      </c>
      <c r="BE142" s="56" t="s">
        <v>16</v>
      </c>
      <c r="BF142" s="33" t="s">
        <v>313</v>
      </c>
      <c r="BG142" s="33" t="s">
        <v>381</v>
      </c>
      <c r="BH142" s="33">
        <v>2.2000000000000002</v>
      </c>
      <c r="BI142" s="33">
        <v>2.2000000000000002</v>
      </c>
    </row>
    <row r="143" spans="1:82" ht="16.5" hidden="1" customHeight="1" x14ac:dyDescent="0.25">
      <c r="A143" s="51"/>
      <c r="B143" s="51"/>
      <c r="C143" s="51"/>
      <c r="D143" s="51"/>
      <c r="E143" s="51"/>
      <c r="F143" s="51"/>
      <c r="G143" s="51"/>
      <c r="H143" s="51"/>
      <c r="I143" s="51"/>
      <c r="J143" s="51"/>
      <c r="K143" s="43" t="s">
        <v>281</v>
      </c>
      <c r="L143" s="51"/>
      <c r="M143" s="51"/>
      <c r="N143" s="51"/>
      <c r="O143" s="51"/>
      <c r="P143" s="51"/>
      <c r="Q143" s="51"/>
      <c r="R143" s="51"/>
      <c r="S143" s="51"/>
      <c r="T143" s="51"/>
      <c r="U143" s="51" t="s">
        <v>268</v>
      </c>
      <c r="V143" s="51"/>
      <c r="W143" s="51"/>
      <c r="X143" s="51"/>
      <c r="Y143" s="51"/>
      <c r="Z143" s="51"/>
      <c r="AA143" s="51"/>
      <c r="AB143" s="51"/>
      <c r="AC143" s="51"/>
      <c r="AD143" s="51"/>
      <c r="AE143" s="51"/>
      <c r="AF143" s="51"/>
      <c r="AG143" s="51"/>
      <c r="AH143" s="51"/>
      <c r="AI143" s="51"/>
      <c r="AJ143" s="51"/>
      <c r="AK143" s="51" t="s">
        <v>141</v>
      </c>
      <c r="AL143" s="51"/>
      <c r="BC143" s="43" t="str">
        <f t="shared" si="1"/>
        <v>IX = Industriestoresrenoz</v>
      </c>
      <c r="BD143" s="43" t="s">
        <v>278</v>
      </c>
      <c r="BE143" s="56" t="s">
        <v>19</v>
      </c>
      <c r="BF143" s="33" t="s">
        <v>313</v>
      </c>
      <c r="BG143" s="33" t="s">
        <v>381</v>
      </c>
      <c r="BH143" s="33">
        <v>0.55000000000000004</v>
      </c>
      <c r="BI143" s="33">
        <v>0.55000000000000004</v>
      </c>
      <c r="CC143" s="58"/>
      <c r="CD143" s="58"/>
    </row>
    <row r="144" spans="1:82" ht="16.5" hidden="1" customHeight="1" x14ac:dyDescent="0.25">
      <c r="A144" s="51"/>
      <c r="B144" s="51"/>
      <c r="C144" s="51"/>
      <c r="D144" s="51"/>
      <c r="E144" s="51"/>
      <c r="F144" s="51"/>
      <c r="G144" s="51"/>
      <c r="H144" s="51"/>
      <c r="I144" s="51"/>
      <c r="J144" s="51"/>
      <c r="K144" s="51"/>
      <c r="L144" s="51"/>
      <c r="M144" s="51"/>
      <c r="N144" s="51"/>
      <c r="O144" s="51"/>
      <c r="P144" s="51"/>
      <c r="Q144" s="54"/>
      <c r="R144" s="51"/>
      <c r="S144" s="51"/>
      <c r="T144" s="51"/>
      <c r="U144" s="51" t="s">
        <v>269</v>
      </c>
      <c r="V144" s="51"/>
      <c r="W144" s="51"/>
      <c r="X144" s="51"/>
      <c r="Y144" s="51"/>
      <c r="Z144" s="51"/>
      <c r="AA144" s="51"/>
      <c r="AB144" s="51"/>
      <c r="AC144" s="51"/>
      <c r="AD144" s="51"/>
      <c r="AE144" s="51"/>
      <c r="AF144" s="51"/>
      <c r="AG144" s="51"/>
      <c r="AH144" s="51"/>
      <c r="AI144" s="51"/>
      <c r="AJ144" s="51"/>
      <c r="AK144" s="51" t="s">
        <v>381</v>
      </c>
      <c r="AL144" s="51"/>
      <c r="BC144" s="43" t="str">
        <f t="shared" si="1"/>
        <v>X = Lagertpneuz</v>
      </c>
      <c r="BD144" s="43" t="s">
        <v>279</v>
      </c>
      <c r="BE144" s="56" t="s">
        <v>5</v>
      </c>
      <c r="BF144" s="33" t="s">
        <v>312</v>
      </c>
      <c r="BG144" s="33" t="s">
        <v>381</v>
      </c>
      <c r="BH144" s="33">
        <v>0.187</v>
      </c>
      <c r="BI144" s="33">
        <v>0.27500000000000002</v>
      </c>
      <c r="CC144" s="58"/>
      <c r="CD144" s="58"/>
    </row>
    <row r="145" spans="1:82" ht="16.5" hidden="1" customHeight="1" x14ac:dyDescent="0.25">
      <c r="A145" s="51"/>
      <c r="B145" s="51"/>
      <c r="C145" s="51"/>
      <c r="D145" s="51"/>
      <c r="E145" s="51"/>
      <c r="F145" s="51"/>
      <c r="G145" s="51"/>
      <c r="H145" s="51"/>
      <c r="I145" s="51"/>
      <c r="J145" s="51"/>
      <c r="K145" s="51" t="b">
        <f>OR($O$47=K132, $O$47=K133)</f>
        <v>0</v>
      </c>
      <c r="L145" s="51" t="s">
        <v>172</v>
      </c>
      <c r="M145" s="51"/>
      <c r="N145" s="51"/>
      <c r="O145" s="51"/>
      <c r="P145" s="51"/>
      <c r="Q145" s="54"/>
      <c r="R145" s="51"/>
      <c r="S145" s="51"/>
      <c r="T145" s="51"/>
      <c r="U145" s="51"/>
      <c r="V145" s="51"/>
      <c r="W145" s="51"/>
      <c r="X145" s="51"/>
      <c r="Y145" s="51"/>
      <c r="Z145" s="51"/>
      <c r="AA145" s="51"/>
      <c r="AB145" s="51"/>
      <c r="AC145" s="51"/>
      <c r="AD145" s="51"/>
      <c r="AE145" s="51"/>
      <c r="AF145" s="51"/>
      <c r="AG145" s="51"/>
      <c r="AH145" s="51"/>
      <c r="AI145" s="51"/>
      <c r="AJ145" s="51"/>
      <c r="AK145" s="51"/>
      <c r="AL145" s="51"/>
      <c r="BC145" s="43" t="str">
        <f>BD145&amp;BE145&amp;BF145&amp;BG145</f>
        <v>X = Lagermneuz</v>
      </c>
      <c r="BD145" s="43" t="s">
        <v>279</v>
      </c>
      <c r="BE145" s="56" t="s">
        <v>8</v>
      </c>
      <c r="BF145" s="33" t="s">
        <v>312</v>
      </c>
      <c r="BG145" s="33" t="s">
        <v>381</v>
      </c>
      <c r="BH145" s="33">
        <v>0.187</v>
      </c>
      <c r="BI145" s="33">
        <v>0.27500000000000002</v>
      </c>
      <c r="CC145" s="58"/>
      <c r="CD145" s="58"/>
    </row>
    <row r="146" spans="1:82" ht="16.5" hidden="1" customHeight="1" x14ac:dyDescent="0.25">
      <c r="A146" s="51"/>
      <c r="B146" s="51"/>
      <c r="C146" s="51"/>
      <c r="D146" s="51"/>
      <c r="E146" s="51"/>
      <c r="F146" s="51"/>
      <c r="G146" s="51"/>
      <c r="H146" s="51"/>
      <c r="I146" s="51"/>
      <c r="J146" s="51"/>
      <c r="K146" s="43" t="s">
        <v>257</v>
      </c>
      <c r="L146" s="51"/>
      <c r="M146" s="51"/>
      <c r="N146" s="51"/>
      <c r="O146" s="51"/>
      <c r="P146" s="51"/>
      <c r="Q146" s="51"/>
      <c r="R146" s="54"/>
      <c r="S146" s="54"/>
      <c r="T146" s="54"/>
      <c r="U146" s="51"/>
      <c r="V146" s="51"/>
      <c r="W146" s="51"/>
      <c r="X146" s="51"/>
      <c r="Y146" s="51"/>
      <c r="Z146" s="51"/>
      <c r="AA146" s="51"/>
      <c r="AB146" s="51"/>
      <c r="AC146" s="51"/>
      <c r="AD146" s="51"/>
      <c r="AE146" s="51"/>
      <c r="AF146" s="51"/>
      <c r="AG146" s="51"/>
      <c r="AH146" s="51"/>
      <c r="AI146" s="51"/>
      <c r="AJ146" s="51"/>
      <c r="AK146" s="51"/>
      <c r="AL146" s="51"/>
      <c r="BC146" s="43" t="str">
        <f>BD146&amp;BE146&amp;BF146&amp;BG146</f>
        <v>X = Lagersneuz</v>
      </c>
      <c r="BD146" s="43" t="s">
        <v>279</v>
      </c>
      <c r="BE146" s="56" t="s">
        <v>11</v>
      </c>
      <c r="BF146" s="33" t="s">
        <v>312</v>
      </c>
      <c r="BG146" s="33" t="s">
        <v>381</v>
      </c>
      <c r="BH146" s="33">
        <v>0.187</v>
      </c>
      <c r="BI146" s="33">
        <v>0.27500000000000002</v>
      </c>
      <c r="CC146" s="58"/>
      <c r="CD146" s="58"/>
    </row>
    <row r="147" spans="1:82" ht="16.5" hidden="1" customHeight="1" x14ac:dyDescent="0.25">
      <c r="A147" s="51"/>
      <c r="B147" s="51"/>
      <c r="C147" s="51"/>
      <c r="D147" s="51"/>
      <c r="E147" s="51"/>
      <c r="F147" s="51"/>
      <c r="G147" s="51"/>
      <c r="H147" s="51"/>
      <c r="I147" s="51"/>
      <c r="J147" s="51"/>
      <c r="K147" s="52" t="s">
        <v>269</v>
      </c>
      <c r="L147" s="51"/>
      <c r="M147" s="51"/>
      <c r="N147" s="51"/>
      <c r="O147" s="51"/>
      <c r="P147" s="51"/>
      <c r="Q147" s="51"/>
      <c r="R147" s="54"/>
      <c r="S147" s="54"/>
      <c r="T147" s="54"/>
      <c r="U147" s="51"/>
      <c r="V147" s="51"/>
      <c r="W147" s="51"/>
      <c r="X147" s="51"/>
      <c r="Y147" s="51"/>
      <c r="Z147" s="51"/>
      <c r="AA147" s="51"/>
      <c r="AB147" s="51"/>
      <c r="AC147" s="51"/>
      <c r="AD147" s="51"/>
      <c r="AE147" s="51"/>
      <c r="AF147" s="51"/>
      <c r="AG147" s="51"/>
      <c r="AH147" s="51"/>
      <c r="AI147" s="51"/>
      <c r="AJ147" s="51"/>
      <c r="AK147" s="51"/>
      <c r="AL147" s="51"/>
      <c r="BC147" s="43" t="str">
        <f t="shared" si="1"/>
        <v>X = Lagerfenneuz</v>
      </c>
      <c r="BD147" s="43" t="s">
        <v>279</v>
      </c>
      <c r="BE147" s="56" t="s">
        <v>12</v>
      </c>
      <c r="BF147" s="33" t="s">
        <v>312</v>
      </c>
      <c r="BG147" s="33" t="s">
        <v>381</v>
      </c>
      <c r="BH147" s="33" t="s">
        <v>162</v>
      </c>
      <c r="BI147" s="33" t="s">
        <v>162</v>
      </c>
      <c r="CC147" s="58"/>
      <c r="CD147" s="58"/>
    </row>
    <row r="148" spans="1:82" ht="16.5" hidden="1"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3" t="s">
        <v>107</v>
      </c>
      <c r="V148" s="51"/>
      <c r="W148" s="51"/>
      <c r="X148" s="51"/>
      <c r="Y148" s="51"/>
      <c r="Z148" s="51"/>
      <c r="AA148" s="51"/>
      <c r="AB148" s="51"/>
      <c r="AC148" s="51"/>
      <c r="AD148" s="51"/>
      <c r="AE148" s="51"/>
      <c r="AF148" s="51"/>
      <c r="AG148" s="51"/>
      <c r="AH148" s="51"/>
      <c r="AI148" s="51"/>
      <c r="AJ148" s="51"/>
      <c r="AK148" s="51"/>
      <c r="AL148" s="51"/>
      <c r="BC148" s="43" t="str">
        <f t="shared" si="1"/>
        <v>X = Lagerportesneuz</v>
      </c>
      <c r="BD148" s="43" t="s">
        <v>279</v>
      </c>
      <c r="BE148" s="56" t="s">
        <v>15</v>
      </c>
      <c r="BF148" s="33" t="s">
        <v>312</v>
      </c>
      <c r="BG148" s="33" t="s">
        <v>381</v>
      </c>
      <c r="BH148" s="33">
        <v>1.3199999999999998</v>
      </c>
      <c r="BI148" s="33">
        <v>1.3199999999999998</v>
      </c>
      <c r="CC148" s="58"/>
      <c r="CD148" s="58"/>
    </row>
    <row r="149" spans="1:82" ht="16.5" hidden="1" customHeight="1" x14ac:dyDescent="0.25">
      <c r="A149" s="51"/>
      <c r="B149" s="51"/>
      <c r="C149" s="51"/>
      <c r="D149" s="51"/>
      <c r="E149" s="51"/>
      <c r="F149" s="51"/>
      <c r="G149" s="51"/>
      <c r="H149" s="51"/>
      <c r="I149" s="51"/>
      <c r="J149" s="51"/>
      <c r="K149" s="51"/>
      <c r="L149" s="51"/>
      <c r="M149" s="51"/>
      <c r="N149" s="51"/>
      <c r="O149" s="51"/>
      <c r="P149" s="51"/>
      <c r="Q149" s="51"/>
      <c r="R149" s="51"/>
      <c r="S149" s="51"/>
      <c r="T149" s="51"/>
      <c r="U149" s="51" t="s">
        <v>257</v>
      </c>
      <c r="V149" s="51"/>
      <c r="W149" s="51"/>
      <c r="X149" s="51"/>
      <c r="Y149" s="51"/>
      <c r="Z149" s="51"/>
      <c r="AA149" s="51"/>
      <c r="AB149" s="51"/>
      <c r="AC149" s="51"/>
      <c r="AD149" s="51"/>
      <c r="AE149" s="51"/>
      <c r="AF149" s="51"/>
      <c r="AG149" s="51"/>
      <c r="AH149" s="51"/>
      <c r="AI149" s="51"/>
      <c r="AJ149" s="51"/>
      <c r="AK149" s="51"/>
      <c r="AL149" s="51"/>
      <c r="BC149" s="43" t="str">
        <f t="shared" si="1"/>
        <v>X = Lagerp343neuz</v>
      </c>
      <c r="BD149" s="43" t="s">
        <v>279</v>
      </c>
      <c r="BE149" s="56" t="s">
        <v>16</v>
      </c>
      <c r="BF149" s="33" t="s">
        <v>312</v>
      </c>
      <c r="BG149" s="33" t="s">
        <v>381</v>
      </c>
      <c r="BH149" s="33">
        <v>0.76999999999999991</v>
      </c>
      <c r="BI149" s="33">
        <v>0.76999999999999991</v>
      </c>
      <c r="CC149" s="58"/>
      <c r="CD149" s="58"/>
    </row>
    <row r="150" spans="1:82" ht="16.5" hidden="1"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t="s">
        <v>282</v>
      </c>
      <c r="V150" s="54"/>
      <c r="W150" s="54"/>
      <c r="X150" s="54"/>
      <c r="Y150" s="54"/>
      <c r="Z150" s="54"/>
      <c r="AA150" s="54"/>
      <c r="AB150" s="54"/>
      <c r="AC150" s="54"/>
      <c r="AD150" s="54"/>
      <c r="AE150" s="54"/>
      <c r="AF150" s="54"/>
      <c r="AG150" s="54"/>
      <c r="AH150" s="54"/>
      <c r="AI150" s="54"/>
      <c r="AJ150" s="54"/>
      <c r="AK150" s="55"/>
      <c r="AL150" s="51"/>
      <c r="BC150" s="43" t="str">
        <f t="shared" si="1"/>
        <v>X = Lagerstoresneuz</v>
      </c>
      <c r="BD150" s="43" t="s">
        <v>279</v>
      </c>
      <c r="BE150" s="56" t="s">
        <v>19</v>
      </c>
      <c r="BF150" s="33" t="s">
        <v>312</v>
      </c>
      <c r="BG150" s="33" t="s">
        <v>381</v>
      </c>
      <c r="BH150" s="33">
        <v>0.55000000000000004</v>
      </c>
      <c r="BI150" s="33">
        <v>0.55000000000000004</v>
      </c>
      <c r="CC150" s="58"/>
      <c r="CD150" s="58"/>
    </row>
    <row r="151" spans="1:82" ht="16.5" hidden="1"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t="s">
        <v>283</v>
      </c>
      <c r="V151" s="54"/>
      <c r="W151" s="54"/>
      <c r="X151" s="54"/>
      <c r="Y151" s="54"/>
      <c r="Z151" s="54"/>
      <c r="AA151" s="54"/>
      <c r="AB151" s="54"/>
      <c r="AC151" s="54"/>
      <c r="AD151" s="54"/>
      <c r="AE151" s="54"/>
      <c r="AF151" s="54"/>
      <c r="AG151" s="54"/>
      <c r="AH151" s="54"/>
      <c r="AI151" s="54"/>
      <c r="AJ151" s="54"/>
      <c r="AK151" s="51"/>
      <c r="AL151" s="51"/>
      <c r="BC151" s="43" t="str">
        <f t="shared" si="1"/>
        <v>X = Lagertprenoz</v>
      </c>
      <c r="BD151" s="43" t="s">
        <v>279</v>
      </c>
      <c r="BE151" s="56" t="s">
        <v>5</v>
      </c>
      <c r="BF151" s="33" t="s">
        <v>313</v>
      </c>
      <c r="BG151" s="33" t="s">
        <v>381</v>
      </c>
      <c r="BH151" s="33">
        <v>0.27500000000000002</v>
      </c>
      <c r="BI151" s="33">
        <v>0.30800000000000005</v>
      </c>
      <c r="CC151" s="58"/>
      <c r="CD151" s="58"/>
    </row>
    <row r="152" spans="1:82" ht="16.5" hidden="1"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t="s">
        <v>284</v>
      </c>
      <c r="V152" s="51"/>
      <c r="W152" s="51"/>
      <c r="X152" s="51"/>
      <c r="Y152" s="51"/>
      <c r="Z152" s="51"/>
      <c r="AA152" s="51"/>
      <c r="AB152" s="51"/>
      <c r="AC152" s="51"/>
      <c r="AD152" s="51"/>
      <c r="AE152" s="51"/>
      <c r="AF152" s="51"/>
      <c r="AG152" s="51"/>
      <c r="AH152" s="51"/>
      <c r="AI152" s="51"/>
      <c r="AJ152" s="51"/>
      <c r="AK152" s="51"/>
      <c r="AL152" s="51"/>
      <c r="BC152" s="43" t="str">
        <f>BD152&amp;BE152&amp;BF152&amp;BG152</f>
        <v>X = Lagermrenoz</v>
      </c>
      <c r="BD152" s="43" t="s">
        <v>279</v>
      </c>
      <c r="BE152" s="56" t="s">
        <v>8</v>
      </c>
      <c r="BF152" s="33" t="s">
        <v>313</v>
      </c>
      <c r="BG152" s="33" t="s">
        <v>381</v>
      </c>
      <c r="BH152" s="33">
        <v>0.27500000000000002</v>
      </c>
      <c r="BI152" s="33">
        <v>0.30800000000000005</v>
      </c>
      <c r="CC152" s="58"/>
      <c r="CD152" s="58"/>
    </row>
    <row r="153" spans="1:82" ht="16.5" hidden="1"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t="s">
        <v>285</v>
      </c>
      <c r="V153" s="51"/>
      <c r="W153" s="51"/>
      <c r="X153" s="51"/>
      <c r="Y153" s="51"/>
      <c r="Z153" s="51"/>
      <c r="AA153" s="51"/>
      <c r="AB153" s="51"/>
      <c r="AC153" s="51"/>
      <c r="AD153" s="51"/>
      <c r="AE153" s="51"/>
      <c r="AF153" s="51"/>
      <c r="AG153" s="51"/>
      <c r="AH153" s="51"/>
      <c r="AI153" s="51"/>
      <c r="AJ153" s="51"/>
      <c r="AK153" s="51"/>
      <c r="AL153" s="51"/>
      <c r="BC153" s="43" t="str">
        <f>BD153&amp;BE153&amp;BF153&amp;BG153</f>
        <v>X = Lagersrenoz</v>
      </c>
      <c r="BD153" s="43" t="s">
        <v>279</v>
      </c>
      <c r="BE153" s="56" t="s">
        <v>11</v>
      </c>
      <c r="BF153" s="33" t="s">
        <v>313</v>
      </c>
      <c r="BG153" s="33" t="s">
        <v>381</v>
      </c>
      <c r="BH153" s="33">
        <v>0.27500000000000002</v>
      </c>
      <c r="BI153" s="33">
        <v>0.30800000000000005</v>
      </c>
      <c r="CC153" s="58"/>
      <c r="CD153" s="58"/>
    </row>
    <row r="154" spans="1:82" ht="16.5" hidden="1"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t="s">
        <v>286</v>
      </c>
      <c r="V154" s="51"/>
      <c r="W154" s="51"/>
      <c r="X154" s="51"/>
      <c r="Y154" s="51"/>
      <c r="Z154" s="51"/>
      <c r="AA154" s="51"/>
      <c r="AB154" s="51"/>
      <c r="AC154" s="51"/>
      <c r="AD154" s="51"/>
      <c r="AE154" s="51"/>
      <c r="AF154" s="51"/>
      <c r="AG154" s="51"/>
      <c r="AH154" s="51"/>
      <c r="AI154" s="51"/>
      <c r="AJ154" s="51"/>
      <c r="AK154" s="51"/>
      <c r="AL154" s="51"/>
      <c r="BC154" s="43" t="str">
        <f t="shared" si="1"/>
        <v>X = Lagerfenrenoz</v>
      </c>
      <c r="BD154" s="43" t="s">
        <v>279</v>
      </c>
      <c r="BE154" s="56" t="s">
        <v>12</v>
      </c>
      <c r="BF154" s="33" t="s">
        <v>313</v>
      </c>
      <c r="BG154" s="33" t="s">
        <v>381</v>
      </c>
      <c r="BH154" s="33" t="s">
        <v>163</v>
      </c>
      <c r="BI154" s="33" t="s">
        <v>163</v>
      </c>
      <c r="CC154" s="58"/>
      <c r="CD154" s="58"/>
    </row>
    <row r="155" spans="1:82" ht="16.5" hidden="1"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1" t="s">
        <v>287</v>
      </c>
      <c r="V155" s="51"/>
      <c r="W155" s="51"/>
      <c r="X155" s="51"/>
      <c r="Y155" s="51"/>
      <c r="Z155" s="51"/>
      <c r="AA155" s="51"/>
      <c r="AB155" s="51"/>
      <c r="AC155" s="51"/>
      <c r="AD155" s="51"/>
      <c r="AE155" s="51"/>
      <c r="AF155" s="51"/>
      <c r="AG155" s="51"/>
      <c r="AH155" s="51"/>
      <c r="AI155" s="51"/>
      <c r="AJ155" s="51"/>
      <c r="AK155" s="51"/>
      <c r="AL155" s="51"/>
      <c r="BC155" s="43" t="str">
        <f t="shared" si="1"/>
        <v>X = Lagerportesrenoz</v>
      </c>
      <c r="BD155" s="43" t="s">
        <v>279</v>
      </c>
      <c r="BE155" s="56" t="s">
        <v>15</v>
      </c>
      <c r="BF155" s="33" t="s">
        <v>313</v>
      </c>
      <c r="BG155" s="33" t="s">
        <v>381</v>
      </c>
      <c r="BH155" s="33">
        <v>1.65</v>
      </c>
      <c r="BI155" s="33">
        <v>1.65</v>
      </c>
      <c r="CC155" s="58"/>
      <c r="CD155" s="58"/>
    </row>
    <row r="156" spans="1:82" ht="16.5" hidden="1"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BC156" s="43" t="str">
        <f t="shared" si="1"/>
        <v>X = Lagerp343renoz</v>
      </c>
      <c r="BD156" s="43" t="s">
        <v>279</v>
      </c>
      <c r="BE156" s="56" t="s">
        <v>16</v>
      </c>
      <c r="BF156" s="33" t="s">
        <v>313</v>
      </c>
      <c r="BG156" s="33" t="s">
        <v>381</v>
      </c>
      <c r="BH156" s="33">
        <v>2.2000000000000002</v>
      </c>
      <c r="BI156" s="33">
        <v>2.2000000000000002</v>
      </c>
      <c r="CC156" s="58"/>
      <c r="CD156" s="58"/>
    </row>
    <row r="157" spans="1:82" ht="16.5" hidden="1"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BC157" s="43" t="str">
        <f>$BD$157&amp;$BE$157&amp;$BF$157&amp;$BG$157</f>
        <v>X = Lagerstoresrenoz</v>
      </c>
      <c r="BD157" s="43" t="s">
        <v>279</v>
      </c>
      <c r="BE157" s="56" t="s">
        <v>19</v>
      </c>
      <c r="BF157" s="33" t="s">
        <v>313</v>
      </c>
      <c r="BG157" s="33" t="s">
        <v>381</v>
      </c>
      <c r="BH157" s="33">
        <v>0.55000000000000004</v>
      </c>
      <c r="BI157" s="33">
        <v>0.55000000000000004</v>
      </c>
      <c r="CC157" s="58"/>
      <c r="CD157" s="58"/>
    </row>
    <row r="158" spans="1:82" ht="16.5" hidden="1"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3" t="s">
        <v>107</v>
      </c>
      <c r="V158" s="51"/>
      <c r="W158" s="51"/>
      <c r="X158" s="51"/>
      <c r="Y158" s="51"/>
      <c r="Z158" s="51"/>
      <c r="AA158" s="51"/>
      <c r="AB158" s="51"/>
      <c r="AC158" s="51"/>
      <c r="AD158" s="51"/>
      <c r="AE158" s="51"/>
      <c r="AF158" s="51"/>
      <c r="AG158" s="51"/>
      <c r="AH158" s="51"/>
      <c r="AI158" s="51"/>
      <c r="AJ158" s="51"/>
      <c r="AK158" s="51"/>
      <c r="AL158" s="51"/>
      <c r="BC158" s="43" t="str">
        <f>$BD158&amp;$BE158&amp;$BF158&amp;$BG158</f>
        <v>XI = Sportbautentpneuz</v>
      </c>
      <c r="BD158" s="43" t="s">
        <v>280</v>
      </c>
      <c r="BE158" s="56" t="s">
        <v>5</v>
      </c>
      <c r="BF158" s="33" t="s">
        <v>312</v>
      </c>
      <c r="BG158" s="33" t="s">
        <v>381</v>
      </c>
      <c r="BH158" s="33">
        <v>0.187</v>
      </c>
      <c r="BI158" s="33">
        <v>0.27500000000000002</v>
      </c>
      <c r="CC158" s="58"/>
      <c r="CD158" s="58"/>
    </row>
    <row r="159" spans="1:82" ht="16.5" hidden="1"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t="s">
        <v>257</v>
      </c>
      <c r="V159" s="51"/>
      <c r="W159" s="51"/>
      <c r="X159" s="51"/>
      <c r="Y159" s="51"/>
      <c r="Z159" s="51"/>
      <c r="AA159" s="51"/>
      <c r="AB159" s="51"/>
      <c r="AC159" s="51"/>
      <c r="AD159" s="51"/>
      <c r="AE159" s="51"/>
      <c r="AF159" s="51"/>
      <c r="AG159" s="51"/>
      <c r="AH159" s="51"/>
      <c r="AI159" s="51"/>
      <c r="AJ159" s="51"/>
      <c r="AK159" s="51"/>
      <c r="AL159" s="51"/>
      <c r="BC159" s="43" t="str">
        <f t="shared" ref="BC159:BC185" si="2">$BD159&amp;$BE159&amp;$BF159&amp;$BG159</f>
        <v>XI = Sportbautenmneuz</v>
      </c>
      <c r="BD159" s="43" t="s">
        <v>280</v>
      </c>
      <c r="BE159" s="56" t="s">
        <v>8</v>
      </c>
      <c r="BF159" s="33" t="s">
        <v>312</v>
      </c>
      <c r="BG159" s="33" t="s">
        <v>381</v>
      </c>
      <c r="BH159" s="33">
        <v>0.187</v>
      </c>
      <c r="BI159" s="33">
        <v>0.27500000000000002</v>
      </c>
      <c r="CC159" s="58"/>
      <c r="CD159" s="58"/>
    </row>
    <row r="160" spans="1:82" ht="16.5" hidden="1"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t="s">
        <v>282</v>
      </c>
      <c r="V160" s="51"/>
      <c r="W160" s="51"/>
      <c r="X160" s="51"/>
      <c r="Y160" s="51"/>
      <c r="Z160" s="51"/>
      <c r="AA160" s="51"/>
      <c r="AB160" s="51"/>
      <c r="AC160" s="51"/>
      <c r="AD160" s="51"/>
      <c r="AE160" s="51"/>
      <c r="AF160" s="51"/>
      <c r="AG160" s="51"/>
      <c r="AH160" s="51"/>
      <c r="AI160" s="51"/>
      <c r="AJ160" s="51"/>
      <c r="AK160" s="51"/>
      <c r="AL160" s="51"/>
      <c r="BC160" s="43" t="str">
        <f t="shared" si="2"/>
        <v>XI = Sportbautensneuz</v>
      </c>
      <c r="BD160" s="43" t="s">
        <v>280</v>
      </c>
      <c r="BE160" s="56" t="s">
        <v>11</v>
      </c>
      <c r="BF160" s="33" t="s">
        <v>312</v>
      </c>
      <c r="BG160" s="33" t="s">
        <v>381</v>
      </c>
      <c r="BH160" s="33">
        <v>0.187</v>
      </c>
      <c r="BI160" s="33">
        <v>0.27500000000000002</v>
      </c>
      <c r="CC160" s="58"/>
      <c r="CD160" s="58"/>
    </row>
    <row r="161" spans="1:82" ht="16.5" hidden="1"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t="s">
        <v>283</v>
      </c>
      <c r="V161" s="51"/>
      <c r="W161" s="51"/>
      <c r="X161" s="51"/>
      <c r="Y161" s="51"/>
      <c r="Z161" s="51"/>
      <c r="AA161" s="51"/>
      <c r="AB161" s="51"/>
      <c r="AC161" s="51"/>
      <c r="AD161" s="51"/>
      <c r="AE161" s="51"/>
      <c r="AF161" s="51"/>
      <c r="AG161" s="51"/>
      <c r="AH161" s="51"/>
      <c r="AI161" s="51"/>
      <c r="AJ161" s="51"/>
      <c r="AK161" s="51"/>
      <c r="AL161" s="51"/>
      <c r="BC161" s="43" t="str">
        <f t="shared" si="2"/>
        <v>XI = Sportbautenfenneuz</v>
      </c>
      <c r="BD161" s="43" t="s">
        <v>280</v>
      </c>
      <c r="BE161" s="56" t="s">
        <v>12</v>
      </c>
      <c r="BF161" s="33" t="s">
        <v>312</v>
      </c>
      <c r="BG161" s="33" t="s">
        <v>381</v>
      </c>
      <c r="BH161" s="33" t="s">
        <v>162</v>
      </c>
      <c r="BI161" s="33" t="s">
        <v>162</v>
      </c>
      <c r="CC161" s="58"/>
      <c r="CD161" s="58"/>
    </row>
    <row r="162" spans="1:82" ht="16.5" hidden="1"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t="s">
        <v>284</v>
      </c>
      <c r="V162" s="51"/>
      <c r="W162" s="51"/>
      <c r="X162" s="51"/>
      <c r="Y162" s="51"/>
      <c r="Z162" s="51"/>
      <c r="AA162" s="51"/>
      <c r="AB162" s="51"/>
      <c r="AC162" s="51"/>
      <c r="AD162" s="51"/>
      <c r="AE162" s="51"/>
      <c r="AF162" s="51"/>
      <c r="AG162" s="51"/>
      <c r="AH162" s="51"/>
      <c r="AI162" s="51"/>
      <c r="AJ162" s="51"/>
      <c r="AK162" s="51"/>
      <c r="AL162" s="51"/>
      <c r="BC162" s="43" t="str">
        <f t="shared" si="2"/>
        <v>XI = Sportbautenportesneuz</v>
      </c>
      <c r="BD162" s="43" t="s">
        <v>280</v>
      </c>
      <c r="BE162" s="56" t="s">
        <v>15</v>
      </c>
      <c r="BF162" s="33" t="s">
        <v>312</v>
      </c>
      <c r="BG162" s="33" t="s">
        <v>381</v>
      </c>
      <c r="BH162" s="33">
        <v>1.3199999999999998</v>
      </c>
      <c r="BI162" s="33">
        <v>1.3199999999999998</v>
      </c>
      <c r="CC162" s="58"/>
      <c r="CD162" s="58"/>
    </row>
    <row r="163" spans="1:82" ht="16.5" hidden="1"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t="s">
        <v>285</v>
      </c>
      <c r="V163" s="51"/>
      <c r="W163" s="51"/>
      <c r="X163" s="51"/>
      <c r="Y163" s="51"/>
      <c r="Z163" s="51"/>
      <c r="AA163" s="51"/>
      <c r="AB163" s="51"/>
      <c r="AC163" s="51"/>
      <c r="AD163" s="51"/>
      <c r="AE163" s="51"/>
      <c r="AF163" s="51"/>
      <c r="AG163" s="51"/>
      <c r="AH163" s="51"/>
      <c r="AI163" s="51"/>
      <c r="AJ163" s="51"/>
      <c r="AK163" s="51"/>
      <c r="AL163" s="51"/>
      <c r="BC163" s="43" t="str">
        <f t="shared" si="2"/>
        <v>XI = Sportbautenp343neuz</v>
      </c>
      <c r="BD163" s="43" t="s">
        <v>280</v>
      </c>
      <c r="BE163" s="56" t="s">
        <v>16</v>
      </c>
      <c r="BF163" s="33" t="s">
        <v>312</v>
      </c>
      <c r="BG163" s="33" t="s">
        <v>381</v>
      </c>
      <c r="BH163" s="33">
        <v>0.76999999999999991</v>
      </c>
      <c r="BI163" s="33">
        <v>0.76999999999999991</v>
      </c>
      <c r="CC163" s="58"/>
      <c r="CD163" s="58"/>
    </row>
    <row r="164" spans="1:82" ht="16.5" hidden="1"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t="s">
        <v>286</v>
      </c>
      <c r="V164" s="51"/>
      <c r="W164" s="51"/>
      <c r="X164" s="51"/>
      <c r="Y164" s="51"/>
      <c r="Z164" s="51"/>
      <c r="AA164" s="51"/>
      <c r="AB164" s="51"/>
      <c r="AC164" s="51"/>
      <c r="AD164" s="51"/>
      <c r="AE164" s="51"/>
      <c r="AF164" s="51"/>
      <c r="AG164" s="51"/>
      <c r="AH164" s="51"/>
      <c r="AI164" s="51"/>
      <c r="AJ164" s="51"/>
      <c r="AK164" s="51"/>
      <c r="AL164" s="51"/>
      <c r="BC164" s="43" t="str">
        <f t="shared" si="2"/>
        <v>XI = Sportbautenstoresneuz</v>
      </c>
      <c r="BD164" s="43" t="s">
        <v>280</v>
      </c>
      <c r="BE164" s="56" t="s">
        <v>19</v>
      </c>
      <c r="BF164" s="33" t="s">
        <v>312</v>
      </c>
      <c r="BG164" s="33" t="s">
        <v>381</v>
      </c>
      <c r="BH164" s="33">
        <v>0.55000000000000004</v>
      </c>
      <c r="BI164" s="33">
        <v>0.55000000000000004</v>
      </c>
      <c r="CC164" s="58"/>
      <c r="CD164" s="58"/>
    </row>
    <row r="165" spans="1:82" ht="16.5" hidden="1"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t="s">
        <v>288</v>
      </c>
      <c r="V165" s="51"/>
      <c r="W165" s="51"/>
      <c r="X165" s="51"/>
      <c r="Y165" s="51"/>
      <c r="Z165" s="51"/>
      <c r="AA165" s="51"/>
      <c r="AB165" s="51"/>
      <c r="AC165" s="51"/>
      <c r="AD165" s="51"/>
      <c r="AE165" s="51"/>
      <c r="AF165" s="51"/>
      <c r="AG165" s="51"/>
      <c r="AH165" s="51"/>
      <c r="AI165" s="51"/>
      <c r="AJ165" s="51"/>
      <c r="AK165" s="51"/>
      <c r="AL165" s="51"/>
      <c r="BC165" s="43" t="str">
        <f t="shared" si="2"/>
        <v>XI = Sportbautentprenoz</v>
      </c>
      <c r="BD165" s="43" t="s">
        <v>280</v>
      </c>
      <c r="BE165" s="56" t="s">
        <v>5</v>
      </c>
      <c r="BF165" s="33" t="s">
        <v>313</v>
      </c>
      <c r="BG165" s="33" t="s">
        <v>381</v>
      </c>
      <c r="BH165" s="33">
        <v>0.27500000000000002</v>
      </c>
      <c r="BI165" s="33">
        <v>0.30800000000000005</v>
      </c>
      <c r="CC165" s="58"/>
      <c r="CD165" s="58"/>
    </row>
    <row r="166" spans="1:82" ht="16.5" hidden="1"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t="s">
        <v>287</v>
      </c>
      <c r="V166" s="51"/>
      <c r="W166" s="51"/>
      <c r="X166" s="51"/>
      <c r="Y166" s="51"/>
      <c r="Z166" s="51"/>
      <c r="AA166" s="51"/>
      <c r="AB166" s="51"/>
      <c r="AC166" s="51"/>
      <c r="AD166" s="51"/>
      <c r="AE166" s="51"/>
      <c r="AF166" s="51"/>
      <c r="AG166" s="51"/>
      <c r="AH166" s="51"/>
      <c r="AI166" s="51"/>
      <c r="AJ166" s="51"/>
      <c r="AK166" s="51"/>
      <c r="AL166" s="51"/>
      <c r="BC166" s="43" t="str">
        <f t="shared" si="2"/>
        <v>XI = Sportbautenmrenoz</v>
      </c>
      <c r="BD166" s="43" t="s">
        <v>280</v>
      </c>
      <c r="BE166" s="56" t="s">
        <v>8</v>
      </c>
      <c r="BF166" s="33" t="s">
        <v>313</v>
      </c>
      <c r="BG166" s="33" t="s">
        <v>381</v>
      </c>
      <c r="BH166" s="33">
        <v>0.27500000000000002</v>
      </c>
      <c r="BI166" s="33">
        <v>0.30800000000000005</v>
      </c>
      <c r="CC166" s="58"/>
      <c r="CD166" s="58"/>
    </row>
    <row r="167" spans="1:82" ht="16.5" hidden="1"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BC167" s="43" t="str">
        <f t="shared" si="2"/>
        <v>XI = Sportbautensrenoz</v>
      </c>
      <c r="BD167" s="43" t="s">
        <v>280</v>
      </c>
      <c r="BE167" s="56" t="s">
        <v>11</v>
      </c>
      <c r="BF167" s="33" t="s">
        <v>313</v>
      </c>
      <c r="BG167" s="33" t="s">
        <v>381</v>
      </c>
      <c r="BH167" s="33">
        <v>0.27500000000000002</v>
      </c>
      <c r="BI167" s="33">
        <v>0.30800000000000005</v>
      </c>
      <c r="CC167" s="58"/>
      <c r="CD167" s="58"/>
    </row>
    <row r="168" spans="1:82" ht="16.5" hidden="1"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BC168" s="43" t="str">
        <f t="shared" si="2"/>
        <v>XI = Sportbautenfenrenoz</v>
      </c>
      <c r="BD168" s="43" t="s">
        <v>280</v>
      </c>
      <c r="BE168" s="56" t="s">
        <v>12</v>
      </c>
      <c r="BF168" s="33" t="s">
        <v>313</v>
      </c>
      <c r="BG168" s="33" t="s">
        <v>381</v>
      </c>
      <c r="BH168" s="33" t="s">
        <v>163</v>
      </c>
      <c r="BI168" s="33" t="s">
        <v>163</v>
      </c>
      <c r="CC168" s="58"/>
      <c r="CD168" s="58"/>
    </row>
    <row r="169" spans="1:82" ht="16.5" hidden="1"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BC169" s="43" t="str">
        <f t="shared" si="2"/>
        <v>XI = Sportbautenportesrenoz</v>
      </c>
      <c r="BD169" s="43" t="s">
        <v>280</v>
      </c>
      <c r="BE169" s="56" t="s">
        <v>15</v>
      </c>
      <c r="BF169" s="33" t="s">
        <v>313</v>
      </c>
      <c r="BG169" s="33" t="s">
        <v>381</v>
      </c>
      <c r="BH169" s="33">
        <v>1.65</v>
      </c>
      <c r="BI169" s="33">
        <v>1.65</v>
      </c>
      <c r="CC169" s="58"/>
      <c r="CD169" s="58"/>
    </row>
    <row r="170" spans="1:82" ht="16.5" hidden="1"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BC170" s="43" t="str">
        <f t="shared" si="2"/>
        <v>XI = Sportbautenp343renoz</v>
      </c>
      <c r="BD170" s="43" t="s">
        <v>280</v>
      </c>
      <c r="BE170" s="56" t="s">
        <v>16</v>
      </c>
      <c r="BF170" s="33" t="s">
        <v>313</v>
      </c>
      <c r="BG170" s="33" t="s">
        <v>381</v>
      </c>
      <c r="BH170" s="33">
        <v>2.2000000000000002</v>
      </c>
      <c r="BI170" s="33">
        <v>2.2000000000000002</v>
      </c>
      <c r="CC170" s="58"/>
      <c r="CD170" s="58"/>
    </row>
    <row r="171" spans="1:82" ht="16.5" hidden="1"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BC171" s="43" t="str">
        <f t="shared" si="2"/>
        <v>XI = Sportbautenstoresrenoz</v>
      </c>
      <c r="BD171" s="43" t="s">
        <v>280</v>
      </c>
      <c r="BE171" s="56" t="s">
        <v>19</v>
      </c>
      <c r="BF171" s="33" t="s">
        <v>313</v>
      </c>
      <c r="BG171" s="33" t="s">
        <v>381</v>
      </c>
      <c r="BH171" s="33">
        <v>0.55000000000000004</v>
      </c>
      <c r="BI171" s="33">
        <v>0.55000000000000004</v>
      </c>
      <c r="CC171" s="58"/>
      <c r="CD171" s="58"/>
    </row>
    <row r="172" spans="1:82" ht="16.5" hidden="1"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BC172" s="43" t="str">
        <f>$BD172&amp;$BE172&amp;$BF172&amp;$BG172</f>
        <v>XI = Hallenbädertpneuz</v>
      </c>
      <c r="BD172" s="43" t="s">
        <v>314</v>
      </c>
      <c r="BE172" s="56" t="s">
        <v>5</v>
      </c>
      <c r="BF172" s="33" t="s">
        <v>312</v>
      </c>
      <c r="BG172" s="33" t="s">
        <v>381</v>
      </c>
      <c r="BH172" s="33">
        <v>0.10200000000000001</v>
      </c>
      <c r="BI172" s="33">
        <v>0.15</v>
      </c>
      <c r="CC172" s="58"/>
      <c r="CD172" s="58"/>
    </row>
    <row r="173" spans="1:82" ht="16.5" hidden="1"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BC173" s="43" t="str">
        <f t="shared" si="2"/>
        <v>XI = Hallenbädermneuz</v>
      </c>
      <c r="BD173" s="43" t="s">
        <v>314</v>
      </c>
      <c r="BE173" s="56" t="s">
        <v>8</v>
      </c>
      <c r="BF173" s="33" t="s">
        <v>312</v>
      </c>
      <c r="BG173" s="33" t="s">
        <v>381</v>
      </c>
      <c r="BH173" s="33">
        <v>0.10200000000000001</v>
      </c>
      <c r="BI173" s="33">
        <v>0.15</v>
      </c>
      <c r="CC173" s="58"/>
      <c r="CD173" s="58"/>
    </row>
    <row r="174" spans="1:82" ht="16.5" hidden="1"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BC174" s="43" t="str">
        <f t="shared" si="2"/>
        <v>XI = Hallenbädersneuz</v>
      </c>
      <c r="BD174" s="43" t="s">
        <v>314</v>
      </c>
      <c r="BE174" s="56" t="s">
        <v>11</v>
      </c>
      <c r="BF174" s="33" t="s">
        <v>312</v>
      </c>
      <c r="BG174" s="33" t="s">
        <v>381</v>
      </c>
      <c r="BH174" s="33">
        <v>0.10200000000000001</v>
      </c>
      <c r="BI174" s="33">
        <v>0.15</v>
      </c>
      <c r="CC174" s="58"/>
      <c r="CD174" s="58"/>
    </row>
    <row r="175" spans="1:82" ht="16.5" hidden="1"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BC175" s="43" t="str">
        <f t="shared" si="2"/>
        <v>XI = Hallenbäderfenneuz</v>
      </c>
      <c r="BD175" s="43" t="s">
        <v>314</v>
      </c>
      <c r="BE175" s="56" t="s">
        <v>12</v>
      </c>
      <c r="BF175" s="33" t="s">
        <v>312</v>
      </c>
      <c r="BG175" s="33" t="s">
        <v>381</v>
      </c>
      <c r="BH175" s="33" t="s">
        <v>147</v>
      </c>
      <c r="BI175" s="33" t="s">
        <v>147</v>
      </c>
      <c r="CC175" s="58"/>
      <c r="CD175" s="58"/>
    </row>
    <row r="176" spans="1:82" ht="16.5" hidden="1"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BC176" s="43" t="str">
        <f t="shared" si="2"/>
        <v>XI = Hallenbäderportesneuz</v>
      </c>
      <c r="BD176" s="43" t="s">
        <v>314</v>
      </c>
      <c r="BE176" s="56" t="s">
        <v>15</v>
      </c>
      <c r="BF176" s="33" t="s">
        <v>312</v>
      </c>
      <c r="BG176" s="33" t="s">
        <v>381</v>
      </c>
      <c r="BH176" s="33">
        <v>0.8</v>
      </c>
      <c r="BI176" s="33">
        <v>0.8</v>
      </c>
      <c r="CC176" s="58"/>
      <c r="CD176" s="58"/>
    </row>
    <row r="177" spans="1:82" ht="16.5" hidden="1"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BC177" s="43" t="str">
        <f t="shared" si="2"/>
        <v>XI = Hallenbäderp343neuz</v>
      </c>
      <c r="BD177" s="43" t="s">
        <v>314</v>
      </c>
      <c r="BE177" s="56" t="s">
        <v>16</v>
      </c>
      <c r="BF177" s="33" t="s">
        <v>312</v>
      </c>
      <c r="BG177" s="33" t="s">
        <v>381</v>
      </c>
      <c r="BH177" s="33">
        <v>0.8</v>
      </c>
      <c r="BI177" s="33">
        <v>0.8</v>
      </c>
      <c r="CC177" s="58"/>
      <c r="CD177" s="58"/>
    </row>
    <row r="178" spans="1:82" ht="16.5" hidden="1"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BC178" s="43" t="str">
        <f t="shared" si="2"/>
        <v>XI = Hallenbäderstoresneuz</v>
      </c>
      <c r="BD178" s="43" t="s">
        <v>314</v>
      </c>
      <c r="BE178" s="56" t="s">
        <v>19</v>
      </c>
      <c r="BF178" s="33" t="s">
        <v>312</v>
      </c>
      <c r="BG178" s="33" t="s">
        <v>381</v>
      </c>
      <c r="BH178" s="33">
        <v>0.3</v>
      </c>
      <c r="BI178" s="33">
        <v>0.3</v>
      </c>
      <c r="CC178" s="58"/>
      <c r="CD178" s="58"/>
    </row>
    <row r="179" spans="1:82" ht="16.5" hidden="1"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BC179" s="43" t="str">
        <f t="shared" si="2"/>
        <v>XI = Hallenbädertprenoz</v>
      </c>
      <c r="BD179" s="43" t="s">
        <v>314</v>
      </c>
      <c r="BE179" s="56" t="s">
        <v>5</v>
      </c>
      <c r="BF179" s="33" t="s">
        <v>313</v>
      </c>
      <c r="BG179" s="33" t="s">
        <v>381</v>
      </c>
      <c r="BH179" s="33">
        <v>0.15</v>
      </c>
      <c r="BI179" s="33">
        <v>0.16800000000000001</v>
      </c>
      <c r="CC179" s="58"/>
      <c r="CD179" s="58"/>
    </row>
    <row r="180" spans="1:82" ht="16.5" hidden="1"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BC180" s="43" t="str">
        <f t="shared" si="2"/>
        <v>XI = Hallenbädermrenoz</v>
      </c>
      <c r="BD180" s="43" t="s">
        <v>314</v>
      </c>
      <c r="BE180" s="56" t="s">
        <v>8</v>
      </c>
      <c r="BF180" s="33" t="s">
        <v>313</v>
      </c>
      <c r="BG180" s="33" t="s">
        <v>381</v>
      </c>
      <c r="BH180" s="33">
        <v>0.15</v>
      </c>
      <c r="BI180" s="33">
        <v>0.16800000000000001</v>
      </c>
      <c r="CC180" s="58"/>
      <c r="CD180" s="58"/>
    </row>
    <row r="181" spans="1:82" ht="16.5" hidden="1"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BC181" s="43" t="str">
        <f t="shared" si="2"/>
        <v>XI = Hallenbädersrenoz</v>
      </c>
      <c r="BD181" s="43" t="s">
        <v>314</v>
      </c>
      <c r="BE181" s="56" t="s">
        <v>11</v>
      </c>
      <c r="BF181" s="33" t="s">
        <v>313</v>
      </c>
      <c r="BG181" s="33" t="s">
        <v>381</v>
      </c>
      <c r="BH181" s="33">
        <v>0.15</v>
      </c>
      <c r="BI181" s="33">
        <v>0.16800000000000001</v>
      </c>
      <c r="CC181" s="58"/>
      <c r="CD181" s="58"/>
    </row>
    <row r="182" spans="1:82" ht="16.5" hidden="1"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BC182" s="43" t="str">
        <f t="shared" si="2"/>
        <v>XI = Hallenbäderfenrenoz</v>
      </c>
      <c r="BD182" s="43" t="s">
        <v>314</v>
      </c>
      <c r="BE182" s="56" t="s">
        <v>12</v>
      </c>
      <c r="BF182" s="33" t="s">
        <v>313</v>
      </c>
      <c r="BG182" s="33" t="s">
        <v>381</v>
      </c>
      <c r="BH182" s="33" t="s">
        <v>147</v>
      </c>
      <c r="BI182" s="33" t="s">
        <v>147</v>
      </c>
      <c r="CC182" s="58"/>
      <c r="CD182" s="58"/>
    </row>
    <row r="183" spans="1:82" ht="16.5" hidden="1"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BC183" s="43" t="str">
        <f t="shared" si="2"/>
        <v>XI = Hallenbäderportesrenoz</v>
      </c>
      <c r="BD183" s="43" t="s">
        <v>314</v>
      </c>
      <c r="BE183" s="56" t="s">
        <v>15</v>
      </c>
      <c r="BF183" s="33" t="s">
        <v>313</v>
      </c>
      <c r="BG183" s="33" t="s">
        <v>381</v>
      </c>
      <c r="BH183" s="33">
        <v>0.89999999999999991</v>
      </c>
      <c r="BI183" s="33">
        <v>0.89999999999999991</v>
      </c>
      <c r="CC183" s="58"/>
      <c r="CD183" s="58"/>
    </row>
    <row r="184" spans="1:82" ht="16.5" hidden="1"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BC184" s="43" t="str">
        <f t="shared" si="2"/>
        <v>XI = Hallenbäderp343renoz</v>
      </c>
      <c r="BD184" s="43" t="s">
        <v>314</v>
      </c>
      <c r="BE184" s="56" t="s">
        <v>16</v>
      </c>
      <c r="BF184" s="33" t="s">
        <v>313</v>
      </c>
      <c r="BG184" s="33" t="s">
        <v>381</v>
      </c>
      <c r="BH184" s="33">
        <v>1.2</v>
      </c>
      <c r="BI184" s="33">
        <v>1.2</v>
      </c>
      <c r="CC184" s="58"/>
      <c r="CD184" s="58"/>
    </row>
    <row r="185" spans="1:82" ht="16.5" hidden="1"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BC185" s="43" t="str">
        <f t="shared" si="2"/>
        <v>XI = Hallenbäderstoresrenoz</v>
      </c>
      <c r="BD185" s="43" t="s">
        <v>314</v>
      </c>
      <c r="BE185" s="56" t="s">
        <v>19</v>
      </c>
      <c r="BF185" s="33" t="s">
        <v>313</v>
      </c>
      <c r="BG185" s="33" t="s">
        <v>381</v>
      </c>
      <c r="BH185" s="33">
        <v>0.3</v>
      </c>
      <c r="BI185" s="33">
        <v>0.3</v>
      </c>
      <c r="CC185" s="58"/>
      <c r="CD185" s="58"/>
    </row>
    <row r="186" spans="1:82" ht="27.75" hidden="1" customHeight="1" x14ac:dyDescent="0.2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BC186" s="43" t="str">
        <f t="shared" si="1"/>
        <v>I = Wohnen MFHtpneussb</v>
      </c>
      <c r="BD186" s="43" t="s">
        <v>270</v>
      </c>
      <c r="BE186" s="56" t="s">
        <v>5</v>
      </c>
      <c r="BF186" s="33" t="s">
        <v>312</v>
      </c>
      <c r="BG186" s="33" t="s">
        <v>95</v>
      </c>
      <c r="BH186" s="33">
        <v>0.15</v>
      </c>
      <c r="BI186" s="33">
        <v>0.25</v>
      </c>
      <c r="CC186" s="58"/>
      <c r="CD186" s="58"/>
    </row>
    <row r="187" spans="1:82" ht="16.5" hidden="1" customHeight="1" x14ac:dyDescent="0.25">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BC187" s="43" t="str">
        <f t="shared" si="1"/>
        <v>I = Wohnen MFHmneussb</v>
      </c>
      <c r="BD187" s="43" t="s">
        <v>270</v>
      </c>
      <c r="BE187" s="56" t="s">
        <v>8</v>
      </c>
      <c r="BF187" s="33" t="s">
        <v>312</v>
      </c>
      <c r="BG187" s="33" t="s">
        <v>95</v>
      </c>
      <c r="BH187" s="33">
        <v>0.15</v>
      </c>
      <c r="BI187" s="33">
        <v>0.25</v>
      </c>
      <c r="CC187" s="58"/>
      <c r="CD187" s="58"/>
    </row>
    <row r="188" spans="1:82" ht="16.5" hidden="1" customHeight="1" x14ac:dyDescent="0.25">
      <c r="R188" s="51"/>
      <c r="S188" s="51"/>
      <c r="T188" s="51"/>
      <c r="U188" s="51"/>
      <c r="V188" s="51"/>
      <c r="W188" s="51"/>
      <c r="X188" s="51"/>
      <c r="Y188" s="51"/>
      <c r="Z188" s="51"/>
      <c r="AA188" s="51"/>
      <c r="AB188" s="51"/>
      <c r="AC188" s="51"/>
      <c r="AD188" s="51"/>
      <c r="AE188" s="51"/>
      <c r="AF188" s="51"/>
      <c r="AG188" s="51"/>
      <c r="AH188" s="51"/>
      <c r="AI188" s="51"/>
      <c r="AJ188" s="51"/>
      <c r="AK188" s="51"/>
      <c r="AL188" s="51"/>
      <c r="BC188" s="43" t="str">
        <f t="shared" si="1"/>
        <v>I = Wohnen MFHsneussb</v>
      </c>
      <c r="BD188" s="43" t="s">
        <v>270</v>
      </c>
      <c r="BE188" s="56" t="s">
        <v>11</v>
      </c>
      <c r="BF188" s="33" t="s">
        <v>312</v>
      </c>
      <c r="BG188" s="33" t="s">
        <v>95</v>
      </c>
      <c r="BH188" s="33">
        <v>0.15</v>
      </c>
      <c r="BI188" s="33">
        <v>0.25</v>
      </c>
      <c r="CC188" s="58"/>
      <c r="CD188" s="58"/>
    </row>
    <row r="189" spans="1:82" ht="16.5" hidden="1" customHeight="1" x14ac:dyDescent="0.25">
      <c r="R189" s="51"/>
      <c r="S189" s="51"/>
      <c r="T189" s="51"/>
      <c r="U189" s="51"/>
      <c r="V189" s="51"/>
      <c r="W189" s="51"/>
      <c r="X189" s="51"/>
      <c r="Y189" s="51"/>
      <c r="Z189" s="51"/>
      <c r="AA189" s="51"/>
      <c r="AB189" s="51"/>
      <c r="AC189" s="51"/>
      <c r="AD189" s="51"/>
      <c r="AE189" s="51"/>
      <c r="AF189" s="51"/>
      <c r="AG189" s="51"/>
      <c r="AH189" s="51"/>
      <c r="AI189" s="51"/>
      <c r="AJ189" s="51"/>
      <c r="AK189" s="51"/>
      <c r="AL189" s="51"/>
      <c r="BC189" s="43" t="str">
        <f t="shared" si="1"/>
        <v>I = Wohnen MFHfenneussb</v>
      </c>
      <c r="BD189" s="43" t="s">
        <v>270</v>
      </c>
      <c r="BE189" s="56" t="s">
        <v>12</v>
      </c>
      <c r="BF189" s="33" t="s">
        <v>312</v>
      </c>
      <c r="BG189" s="33" t="s">
        <v>95</v>
      </c>
      <c r="BH189" s="33" t="s">
        <v>145</v>
      </c>
      <c r="BI189" s="33" t="s">
        <v>146</v>
      </c>
      <c r="CC189" s="58"/>
      <c r="CD189" s="58"/>
    </row>
    <row r="190" spans="1:82" ht="16.5" hidden="1" customHeight="1" x14ac:dyDescent="0.25">
      <c r="N190" s="45"/>
      <c r="O190" s="45"/>
      <c r="U190" s="51"/>
      <c r="V190" s="51"/>
      <c r="W190" s="51"/>
      <c r="X190" s="51"/>
      <c r="Y190" s="51"/>
      <c r="Z190" s="51"/>
      <c r="AA190" s="51"/>
      <c r="AB190" s="51"/>
      <c r="AC190" s="51"/>
      <c r="AD190" s="51"/>
      <c r="AE190" s="51"/>
      <c r="AF190" s="51"/>
      <c r="AG190" s="51"/>
      <c r="AH190" s="51"/>
      <c r="AI190" s="51"/>
      <c r="AJ190" s="51"/>
      <c r="AK190" s="51"/>
      <c r="AL190" s="51"/>
      <c r="BC190" s="43" t="str">
        <f t="shared" si="1"/>
        <v>I = Wohnen MFHportesneussb</v>
      </c>
      <c r="BD190" s="43" t="s">
        <v>270</v>
      </c>
      <c r="BE190" s="56" t="s">
        <v>15</v>
      </c>
      <c r="BF190" s="33" t="s">
        <v>312</v>
      </c>
      <c r="BG190" s="33" t="s">
        <v>95</v>
      </c>
      <c r="BH190" s="33">
        <v>1.2</v>
      </c>
      <c r="BI190" s="33">
        <v>1.5</v>
      </c>
      <c r="CC190" s="58"/>
      <c r="CD190" s="58"/>
    </row>
    <row r="191" spans="1:82" ht="16.5" hidden="1" customHeight="1" x14ac:dyDescent="0.25">
      <c r="N191" s="45"/>
      <c r="O191" s="45"/>
      <c r="P191" s="46"/>
      <c r="Q191" s="46"/>
      <c r="U191" s="51"/>
      <c r="V191" s="51"/>
      <c r="W191" s="51"/>
      <c r="X191" s="51"/>
      <c r="Y191" s="51"/>
      <c r="Z191" s="51"/>
      <c r="AA191" s="51"/>
      <c r="AB191" s="51"/>
      <c r="AC191" s="51"/>
      <c r="AD191" s="51"/>
      <c r="AE191" s="51"/>
      <c r="AF191" s="51"/>
      <c r="AG191" s="51"/>
      <c r="AH191" s="51"/>
      <c r="AI191" s="51"/>
      <c r="AJ191" s="51"/>
      <c r="AK191" s="51"/>
      <c r="AL191" s="51"/>
      <c r="BC191" s="43" t="str">
        <f t="shared" si="1"/>
        <v>I = Wohnen MFHp343neussb</v>
      </c>
      <c r="BD191" s="43" t="s">
        <v>270</v>
      </c>
      <c r="BE191" s="56" t="s">
        <v>16</v>
      </c>
      <c r="BF191" s="33" t="s">
        <v>312</v>
      </c>
      <c r="BG191" s="33" t="s">
        <v>95</v>
      </c>
      <c r="BH191" s="33">
        <v>1.7</v>
      </c>
      <c r="BI191" s="33">
        <v>2</v>
      </c>
      <c r="CC191" s="58"/>
      <c r="CD191" s="58"/>
    </row>
    <row r="192" spans="1:82" ht="16.5" hidden="1" customHeight="1" x14ac:dyDescent="0.25">
      <c r="K192" s="45"/>
      <c r="L192" s="45"/>
      <c r="M192" s="45"/>
      <c r="U192" s="51"/>
      <c r="V192" s="51"/>
      <c r="W192" s="51"/>
      <c r="X192" s="51"/>
      <c r="Y192" s="51"/>
      <c r="Z192" s="51"/>
      <c r="AA192" s="51"/>
      <c r="AB192" s="51"/>
      <c r="AC192" s="51"/>
      <c r="AD192" s="51"/>
      <c r="AE192" s="51"/>
      <c r="AF192" s="51"/>
      <c r="AG192" s="51"/>
      <c r="AH192" s="51"/>
      <c r="AI192" s="51"/>
      <c r="AJ192" s="51"/>
      <c r="AK192" s="51"/>
      <c r="AL192" s="51"/>
      <c r="BC192" s="43" t="str">
        <f t="shared" si="1"/>
        <v>I = Wohnen MFHstoresneussb</v>
      </c>
      <c r="BD192" s="43" t="s">
        <v>270</v>
      </c>
      <c r="BE192" s="56" t="s">
        <v>19</v>
      </c>
      <c r="BF192" s="33" t="s">
        <v>312</v>
      </c>
      <c r="BG192" s="33" t="s">
        <v>95</v>
      </c>
      <c r="BH192" s="33">
        <v>0.5</v>
      </c>
      <c r="BI192" s="33">
        <v>0.5</v>
      </c>
      <c r="CC192" s="58"/>
      <c r="CD192" s="58"/>
    </row>
    <row r="193" spans="13:82" ht="16.5" hidden="1" customHeight="1" x14ac:dyDescent="0.25">
      <c r="M193" s="45"/>
      <c r="R193" s="46"/>
      <c r="S193" s="46"/>
      <c r="T193" s="46"/>
      <c r="U193" s="51"/>
      <c r="V193" s="51"/>
      <c r="W193" s="51"/>
      <c r="X193" s="51"/>
      <c r="Y193" s="51"/>
      <c r="Z193" s="51"/>
      <c r="AA193" s="51"/>
      <c r="AB193" s="51"/>
      <c r="AC193" s="51"/>
      <c r="AD193" s="51"/>
      <c r="AE193" s="51"/>
      <c r="AF193" s="51"/>
      <c r="AG193" s="51"/>
      <c r="AH193" s="51"/>
      <c r="AI193" s="51"/>
      <c r="AJ193" s="51"/>
      <c r="AK193" s="51"/>
      <c r="AL193" s="51"/>
      <c r="BC193" s="43" t="str">
        <f t="shared" si="1"/>
        <v>II = Wohnen EFHtpneussb</v>
      </c>
      <c r="BD193" s="43" t="s">
        <v>271</v>
      </c>
      <c r="BE193" s="56" t="s">
        <v>5</v>
      </c>
      <c r="BF193" s="33" t="s">
        <v>312</v>
      </c>
      <c r="BG193" s="33" t="s">
        <v>95</v>
      </c>
      <c r="BH193" s="33">
        <v>0.15</v>
      </c>
      <c r="BI193" s="33">
        <v>0.25</v>
      </c>
      <c r="CC193" s="58"/>
      <c r="CD193" s="58"/>
    </row>
    <row r="194" spans="13:82" ht="16.5" hidden="1" customHeight="1" x14ac:dyDescent="0.25">
      <c r="AD194" s="44"/>
      <c r="BC194" s="43" t="str">
        <f t="shared" si="1"/>
        <v>II = Wohnen EFHmneussb</v>
      </c>
      <c r="BD194" s="43" t="s">
        <v>271</v>
      </c>
      <c r="BE194" s="56" t="s">
        <v>8</v>
      </c>
      <c r="BF194" s="33" t="s">
        <v>312</v>
      </c>
      <c r="BG194" s="33" t="s">
        <v>95</v>
      </c>
      <c r="BH194" s="33">
        <v>0.15</v>
      </c>
      <c r="BI194" s="33">
        <v>0.25</v>
      </c>
      <c r="CC194" s="58"/>
      <c r="CD194" s="58"/>
    </row>
    <row r="195" spans="13:82" ht="16.5" hidden="1" customHeight="1" x14ac:dyDescent="0.25">
      <c r="AD195" s="44"/>
      <c r="BC195" s="43" t="str">
        <f t="shared" si="1"/>
        <v>II = Wohnen EFHsneussb</v>
      </c>
      <c r="BD195" s="43" t="s">
        <v>271</v>
      </c>
      <c r="BE195" s="56" t="s">
        <v>11</v>
      </c>
      <c r="BF195" s="33" t="s">
        <v>312</v>
      </c>
      <c r="BG195" s="33" t="s">
        <v>95</v>
      </c>
      <c r="BH195" s="33">
        <v>0.15</v>
      </c>
      <c r="BI195" s="33">
        <v>0.25</v>
      </c>
      <c r="CC195" s="58"/>
      <c r="CD195" s="58"/>
    </row>
    <row r="196" spans="13:82" ht="16.5" hidden="1" customHeight="1" x14ac:dyDescent="0.25">
      <c r="AD196" s="44"/>
      <c r="BC196" s="43" t="str">
        <f t="shared" si="1"/>
        <v>II = Wohnen EFHfenneussb</v>
      </c>
      <c r="BD196" s="43" t="s">
        <v>271</v>
      </c>
      <c r="BE196" s="56" t="s">
        <v>12</v>
      </c>
      <c r="BF196" s="33" t="s">
        <v>312</v>
      </c>
      <c r="BG196" s="33" t="s">
        <v>95</v>
      </c>
      <c r="BH196" s="33" t="s">
        <v>145</v>
      </c>
      <c r="BI196" s="33" t="s">
        <v>146</v>
      </c>
      <c r="CC196" s="58"/>
      <c r="CD196" s="58"/>
    </row>
    <row r="197" spans="13:82" ht="16.5" hidden="1" customHeight="1" x14ac:dyDescent="0.25">
      <c r="AD197" s="44"/>
      <c r="BC197" s="43" t="str">
        <f t="shared" si="1"/>
        <v>II = Wohnen EFHportesneussb</v>
      </c>
      <c r="BD197" s="43" t="s">
        <v>271</v>
      </c>
      <c r="BE197" s="56" t="s">
        <v>15</v>
      </c>
      <c r="BF197" s="33" t="s">
        <v>312</v>
      </c>
      <c r="BG197" s="33" t="s">
        <v>95</v>
      </c>
      <c r="BH197" s="33">
        <v>1.2</v>
      </c>
      <c r="BI197" s="33">
        <v>1.5</v>
      </c>
      <c r="CC197" s="58"/>
      <c r="CD197" s="58"/>
    </row>
    <row r="198" spans="13:82" ht="16.5" hidden="1" customHeight="1" x14ac:dyDescent="0.25">
      <c r="BC198" s="43" t="str">
        <f t="shared" si="1"/>
        <v>II = Wohnen EFHp343neussb</v>
      </c>
      <c r="BD198" s="43" t="s">
        <v>271</v>
      </c>
      <c r="BE198" s="56" t="s">
        <v>16</v>
      </c>
      <c r="BF198" s="33" t="s">
        <v>312</v>
      </c>
      <c r="BG198" s="33" t="s">
        <v>95</v>
      </c>
      <c r="BH198" s="33">
        <v>1.7</v>
      </c>
      <c r="BI198" s="33">
        <v>2</v>
      </c>
      <c r="CC198" s="58"/>
      <c r="CD198" s="58"/>
    </row>
    <row r="199" spans="13:82" ht="16.5" hidden="1" customHeight="1" x14ac:dyDescent="0.25">
      <c r="BC199" s="43" t="str">
        <f t="shared" si="1"/>
        <v>II = Wohnen EFHstoresneussb</v>
      </c>
      <c r="BD199" s="43" t="s">
        <v>271</v>
      </c>
      <c r="BE199" s="56" t="s">
        <v>19</v>
      </c>
      <c r="BF199" s="33" t="s">
        <v>312</v>
      </c>
      <c r="BG199" s="33" t="s">
        <v>95</v>
      </c>
      <c r="BH199" s="33">
        <v>0.5</v>
      </c>
      <c r="BI199" s="33">
        <v>0.5</v>
      </c>
      <c r="CC199" s="58"/>
      <c r="CD199" s="58"/>
    </row>
    <row r="200" spans="13:82" ht="16.5" hidden="1" customHeight="1" x14ac:dyDescent="0.25">
      <c r="BC200" s="43" t="str">
        <f t="shared" si="1"/>
        <v>I = Wohnen MFHtpneussc</v>
      </c>
      <c r="BD200" s="43" t="s">
        <v>270</v>
      </c>
      <c r="BE200" s="56" t="s">
        <v>5</v>
      </c>
      <c r="BF200" s="33" t="s">
        <v>312</v>
      </c>
      <c r="BG200" s="33" t="s">
        <v>96</v>
      </c>
      <c r="BH200" s="33">
        <v>0.15</v>
      </c>
      <c r="BI200" s="33">
        <v>0.25</v>
      </c>
      <c r="CC200" s="58"/>
      <c r="CD200" s="58"/>
    </row>
    <row r="201" spans="13:82" ht="16.5" hidden="1" customHeight="1" x14ac:dyDescent="0.25">
      <c r="BC201" s="43" t="str">
        <f t="shared" ref="BC201:BC264" si="3">BD201&amp;BE201&amp;BF201&amp;BG201</f>
        <v>I = Wohnen MFHmneussc</v>
      </c>
      <c r="BD201" s="43" t="s">
        <v>270</v>
      </c>
      <c r="BE201" s="56" t="s">
        <v>8</v>
      </c>
      <c r="BF201" s="33" t="s">
        <v>312</v>
      </c>
      <c r="BG201" s="33" t="s">
        <v>96</v>
      </c>
      <c r="BH201" s="33">
        <v>0.15</v>
      </c>
      <c r="BI201" s="33">
        <v>0.25</v>
      </c>
      <c r="CC201" s="58"/>
      <c r="CD201" s="58"/>
    </row>
    <row r="202" spans="13:82" ht="16.5" hidden="1" customHeight="1" x14ac:dyDescent="0.25">
      <c r="BC202" s="43" t="str">
        <f t="shared" si="3"/>
        <v>I = Wohnen MFHsneussc</v>
      </c>
      <c r="BD202" s="43" t="s">
        <v>270</v>
      </c>
      <c r="BE202" s="56" t="s">
        <v>11</v>
      </c>
      <c r="BF202" s="33" t="s">
        <v>312</v>
      </c>
      <c r="BG202" s="33" t="s">
        <v>96</v>
      </c>
      <c r="BH202" s="33">
        <v>0.15</v>
      </c>
      <c r="BI202" s="33">
        <v>0.25</v>
      </c>
      <c r="CC202" s="58"/>
      <c r="CD202" s="58"/>
    </row>
    <row r="203" spans="13:82" ht="16.5" hidden="1" customHeight="1" x14ac:dyDescent="0.25">
      <c r="BC203" s="43" t="str">
        <f t="shared" si="3"/>
        <v>I = Wohnen MFHfenneussc</v>
      </c>
      <c r="BD203" s="43" t="s">
        <v>270</v>
      </c>
      <c r="BE203" s="56" t="s">
        <v>12</v>
      </c>
      <c r="BF203" s="33" t="s">
        <v>312</v>
      </c>
      <c r="BG203" s="33" t="s">
        <v>96</v>
      </c>
      <c r="BH203" s="33" t="s">
        <v>147</v>
      </c>
      <c r="BI203" s="33" t="s">
        <v>146</v>
      </c>
      <c r="CC203" s="58"/>
      <c r="CD203" s="58"/>
    </row>
    <row r="204" spans="13:82" ht="16.5" hidden="1" customHeight="1" x14ac:dyDescent="0.25">
      <c r="BC204" s="43" t="str">
        <f t="shared" si="3"/>
        <v>I = Wohnen MFHportesneussc</v>
      </c>
      <c r="BD204" s="43" t="s">
        <v>270</v>
      </c>
      <c r="BE204" s="56" t="s">
        <v>15</v>
      </c>
      <c r="BF204" s="33" t="s">
        <v>312</v>
      </c>
      <c r="BG204" s="33" t="s">
        <v>96</v>
      </c>
      <c r="BH204" s="33">
        <v>1.2</v>
      </c>
      <c r="BI204" s="33">
        <v>1.5</v>
      </c>
      <c r="CC204" s="58"/>
      <c r="CD204" s="58"/>
    </row>
    <row r="205" spans="13:82" ht="16.5" hidden="1" customHeight="1" x14ac:dyDescent="0.25">
      <c r="BC205" s="43" t="str">
        <f t="shared" si="3"/>
        <v>I = Wohnen MFHp343neussc</v>
      </c>
      <c r="BD205" s="43" t="s">
        <v>270</v>
      </c>
      <c r="BE205" s="56" t="s">
        <v>16</v>
      </c>
      <c r="BF205" s="33" t="s">
        <v>312</v>
      </c>
      <c r="BG205" s="33" t="s">
        <v>96</v>
      </c>
      <c r="BH205" s="33">
        <v>1.7</v>
      </c>
      <c r="BI205" s="33">
        <v>2</v>
      </c>
      <c r="CC205" s="58"/>
      <c r="CD205" s="58"/>
    </row>
    <row r="206" spans="13:82" ht="16.5" hidden="1" customHeight="1" x14ac:dyDescent="0.25">
      <c r="BC206" s="43" t="str">
        <f t="shared" si="3"/>
        <v>I = Wohnen MFHstoresneussc</v>
      </c>
      <c r="BD206" s="43" t="s">
        <v>270</v>
      </c>
      <c r="BE206" s="56" t="s">
        <v>19</v>
      </c>
      <c r="BF206" s="33" t="s">
        <v>312</v>
      </c>
      <c r="BG206" s="33" t="s">
        <v>96</v>
      </c>
      <c r="BH206" s="33">
        <v>0.5</v>
      </c>
      <c r="BI206" s="33">
        <v>0.5</v>
      </c>
      <c r="CC206" s="58"/>
      <c r="CD206" s="58"/>
    </row>
    <row r="207" spans="13:82" ht="16.5" hidden="1" customHeight="1" x14ac:dyDescent="0.25">
      <c r="BC207" s="43" t="str">
        <f t="shared" si="3"/>
        <v>II = Wohnen EFHtpneussc</v>
      </c>
      <c r="BD207" s="43" t="s">
        <v>271</v>
      </c>
      <c r="BE207" s="56" t="s">
        <v>5</v>
      </c>
      <c r="BF207" s="33" t="s">
        <v>312</v>
      </c>
      <c r="BG207" s="33" t="s">
        <v>96</v>
      </c>
      <c r="BH207" s="33">
        <v>0.15</v>
      </c>
      <c r="BI207" s="33">
        <v>0.25</v>
      </c>
      <c r="CC207" s="58"/>
      <c r="CD207" s="58"/>
    </row>
    <row r="208" spans="13:82" ht="16.5" hidden="1" customHeight="1" x14ac:dyDescent="0.25">
      <c r="BC208" s="43" t="str">
        <f t="shared" si="3"/>
        <v>II = Wohnen EFHmneussc</v>
      </c>
      <c r="BD208" s="43" t="s">
        <v>271</v>
      </c>
      <c r="BE208" s="56" t="s">
        <v>8</v>
      </c>
      <c r="BF208" s="33" t="s">
        <v>312</v>
      </c>
      <c r="BG208" s="33" t="s">
        <v>96</v>
      </c>
      <c r="BH208" s="33">
        <v>0.15</v>
      </c>
      <c r="BI208" s="33">
        <v>0.25</v>
      </c>
      <c r="CC208" s="58"/>
      <c r="CD208" s="58"/>
    </row>
    <row r="209" spans="55:82" ht="16.5" hidden="1" customHeight="1" x14ac:dyDescent="0.25">
      <c r="BC209" s="43" t="str">
        <f t="shared" si="3"/>
        <v>II = Wohnen EFHsneussc</v>
      </c>
      <c r="BD209" s="43" t="s">
        <v>271</v>
      </c>
      <c r="BE209" s="56" t="s">
        <v>11</v>
      </c>
      <c r="BF209" s="33" t="s">
        <v>312</v>
      </c>
      <c r="BG209" s="33" t="s">
        <v>96</v>
      </c>
      <c r="BH209" s="33">
        <v>0.15</v>
      </c>
      <c r="BI209" s="33">
        <v>0.25</v>
      </c>
      <c r="CC209" s="58"/>
      <c r="CD209" s="58"/>
    </row>
    <row r="210" spans="55:82" ht="16.5" hidden="1" customHeight="1" x14ac:dyDescent="0.25">
      <c r="BC210" s="43" t="str">
        <f t="shared" si="3"/>
        <v>II = Wohnen EFHfenneussc</v>
      </c>
      <c r="BD210" s="43" t="s">
        <v>271</v>
      </c>
      <c r="BE210" s="56" t="s">
        <v>12</v>
      </c>
      <c r="BF210" s="33" t="s">
        <v>312</v>
      </c>
      <c r="BG210" s="33" t="s">
        <v>96</v>
      </c>
      <c r="BH210" s="33" t="s">
        <v>147</v>
      </c>
      <c r="BI210" s="33" t="s">
        <v>146</v>
      </c>
      <c r="CC210" s="58"/>
      <c r="CD210" s="58"/>
    </row>
    <row r="211" spans="55:82" ht="16.5" hidden="1" customHeight="1" x14ac:dyDescent="0.25">
      <c r="BC211" s="43" t="str">
        <f t="shared" si="3"/>
        <v>II = Wohnen EFHportesneussc</v>
      </c>
      <c r="BD211" s="43" t="s">
        <v>271</v>
      </c>
      <c r="BE211" s="56" t="s">
        <v>15</v>
      </c>
      <c r="BF211" s="33" t="s">
        <v>312</v>
      </c>
      <c r="BG211" s="33" t="s">
        <v>96</v>
      </c>
      <c r="BH211" s="33">
        <v>1.2</v>
      </c>
      <c r="BI211" s="33">
        <v>1.5</v>
      </c>
      <c r="CC211" s="58"/>
      <c r="CD211" s="58"/>
    </row>
    <row r="212" spans="55:82" ht="16.5" hidden="1" customHeight="1" x14ac:dyDescent="0.25">
      <c r="BC212" s="43" t="str">
        <f t="shared" si="3"/>
        <v>II = Wohnen EFHp343neussc</v>
      </c>
      <c r="BD212" s="43" t="s">
        <v>271</v>
      </c>
      <c r="BE212" s="56" t="s">
        <v>16</v>
      </c>
      <c r="BF212" s="33" t="s">
        <v>312</v>
      </c>
      <c r="BG212" s="33" t="s">
        <v>96</v>
      </c>
      <c r="BH212" s="33">
        <v>1.7</v>
      </c>
      <c r="BI212" s="33">
        <v>2</v>
      </c>
      <c r="CC212" s="58"/>
      <c r="CD212" s="58"/>
    </row>
    <row r="213" spans="55:82" ht="16.5" hidden="1" customHeight="1" x14ac:dyDescent="0.25">
      <c r="BC213" s="43" t="str">
        <f t="shared" si="3"/>
        <v>II = Wohnen EFHstoresneussc</v>
      </c>
      <c r="BD213" s="43" t="s">
        <v>271</v>
      </c>
      <c r="BE213" s="56" t="s">
        <v>19</v>
      </c>
      <c r="BF213" s="33" t="s">
        <v>312</v>
      </c>
      <c r="BG213" s="33" t="s">
        <v>96</v>
      </c>
      <c r="BH213" s="33">
        <v>0.5</v>
      </c>
      <c r="BI213" s="33">
        <v>0.5</v>
      </c>
      <c r="CC213" s="58"/>
      <c r="CD213" s="58"/>
    </row>
    <row r="214" spans="55:82" ht="16.5" hidden="1" customHeight="1" x14ac:dyDescent="0.25">
      <c r="BC214" s="43" t="str">
        <f t="shared" si="3"/>
        <v>I = Wohnen MFHtprenossd</v>
      </c>
      <c r="BD214" s="43" t="s">
        <v>270</v>
      </c>
      <c r="BE214" s="56" t="s">
        <v>5</v>
      </c>
      <c r="BF214" s="33" t="s">
        <v>313</v>
      </c>
      <c r="BG214" s="33" t="s">
        <v>97</v>
      </c>
      <c r="BH214" s="33">
        <v>0.25</v>
      </c>
      <c r="BI214" s="33">
        <v>0.28000000000000003</v>
      </c>
      <c r="CC214" s="58"/>
      <c r="CD214" s="58"/>
    </row>
    <row r="215" spans="55:82" ht="16.5" hidden="1" customHeight="1" x14ac:dyDescent="0.25">
      <c r="BC215" s="43" t="str">
        <f t="shared" si="3"/>
        <v>I = Wohnen MFHmrenossd</v>
      </c>
      <c r="BD215" s="43" t="s">
        <v>270</v>
      </c>
      <c r="BE215" s="56" t="s">
        <v>8</v>
      </c>
      <c r="BF215" s="33" t="s">
        <v>313</v>
      </c>
      <c r="BG215" s="33" t="s">
        <v>97</v>
      </c>
      <c r="BH215" s="33">
        <v>0.2</v>
      </c>
      <c r="BI215" s="33">
        <v>0.2</v>
      </c>
      <c r="CC215" s="58"/>
      <c r="CD215" s="58"/>
    </row>
    <row r="216" spans="55:82" ht="16.5" hidden="1" customHeight="1" x14ac:dyDescent="0.25">
      <c r="BC216" s="43" t="str">
        <f t="shared" si="3"/>
        <v>I = Wohnen MFHsrenossd</v>
      </c>
      <c r="BD216" s="43" t="s">
        <v>270</v>
      </c>
      <c r="BE216" s="56" t="s">
        <v>11</v>
      </c>
      <c r="BF216" s="33" t="s">
        <v>313</v>
      </c>
      <c r="BG216" s="33" t="s">
        <v>97</v>
      </c>
      <c r="BH216" s="33">
        <v>0.25</v>
      </c>
      <c r="BI216" s="33">
        <v>0.28000000000000003</v>
      </c>
      <c r="CC216" s="58"/>
      <c r="CD216" s="58"/>
    </row>
    <row r="217" spans="55:82" ht="16.5" hidden="1" customHeight="1" x14ac:dyDescent="0.25">
      <c r="BC217" s="43" t="str">
        <f t="shared" si="3"/>
        <v>I = Wohnen MFHfenrenossd</v>
      </c>
      <c r="BD217" s="43" t="s">
        <v>270</v>
      </c>
      <c r="BE217" s="56" t="s">
        <v>12</v>
      </c>
      <c r="BF217" s="33" t="s">
        <v>313</v>
      </c>
      <c r="BG217" s="33" t="s">
        <v>97</v>
      </c>
      <c r="BH217" s="33" t="s">
        <v>164</v>
      </c>
      <c r="BI217" s="33" t="s">
        <v>164</v>
      </c>
      <c r="CC217" s="58"/>
      <c r="CD217" s="58"/>
    </row>
    <row r="218" spans="55:82" ht="16.5" hidden="1" customHeight="1" x14ac:dyDescent="0.25">
      <c r="BC218" s="43" t="str">
        <f t="shared" si="3"/>
        <v>I = Wohnen MFHportesrenossd</v>
      </c>
      <c r="BD218" s="43" t="s">
        <v>270</v>
      </c>
      <c r="BE218" s="56" t="s">
        <v>15</v>
      </c>
      <c r="BF218" s="33" t="s">
        <v>313</v>
      </c>
      <c r="BG218" s="33" t="s">
        <v>97</v>
      </c>
      <c r="BH218" s="33">
        <v>1.2</v>
      </c>
      <c r="BI218" s="33">
        <v>1.5</v>
      </c>
      <c r="CC218" s="58"/>
      <c r="CD218" s="58"/>
    </row>
    <row r="219" spans="55:82" ht="16.5" hidden="1" customHeight="1" x14ac:dyDescent="0.25">
      <c r="BC219" s="43" t="str">
        <f t="shared" si="3"/>
        <v>I = Wohnen MFHp343renossd</v>
      </c>
      <c r="BD219" s="43" t="s">
        <v>270</v>
      </c>
      <c r="BE219" s="56" t="s">
        <v>16</v>
      </c>
      <c r="BF219" s="33" t="s">
        <v>313</v>
      </c>
      <c r="BG219" s="33" t="s">
        <v>97</v>
      </c>
      <c r="BH219" s="33">
        <v>1.7</v>
      </c>
      <c r="BI219" s="33">
        <v>2</v>
      </c>
      <c r="CC219" s="58"/>
      <c r="CD219" s="58"/>
    </row>
    <row r="220" spans="55:82" ht="16.5" hidden="1" customHeight="1" x14ac:dyDescent="0.25">
      <c r="BC220" s="43" t="str">
        <f t="shared" si="3"/>
        <v>I = Wohnen MFHstoresrenossd</v>
      </c>
      <c r="BD220" s="43" t="s">
        <v>270</v>
      </c>
      <c r="BE220" s="56" t="s">
        <v>19</v>
      </c>
      <c r="BF220" s="33" t="s">
        <v>313</v>
      </c>
      <c r="BG220" s="33" t="s">
        <v>97</v>
      </c>
      <c r="BH220" s="33">
        <v>0.5</v>
      </c>
      <c r="BI220" s="33">
        <v>0.5</v>
      </c>
      <c r="CC220" s="58"/>
      <c r="CD220" s="58"/>
    </row>
    <row r="221" spans="55:82" ht="16.5" hidden="1" customHeight="1" x14ac:dyDescent="0.25">
      <c r="BC221" s="43" t="str">
        <f t="shared" si="3"/>
        <v>II = Wohnen EFHtprenossd</v>
      </c>
      <c r="BD221" s="43" t="s">
        <v>271</v>
      </c>
      <c r="BE221" s="56" t="s">
        <v>5</v>
      </c>
      <c r="BF221" s="33" t="s">
        <v>313</v>
      </c>
      <c r="BG221" s="33" t="s">
        <v>97</v>
      </c>
      <c r="BH221" s="33">
        <v>0.25</v>
      </c>
      <c r="BI221" s="33">
        <v>0.28000000000000003</v>
      </c>
      <c r="CC221" s="58"/>
      <c r="CD221" s="58"/>
    </row>
    <row r="222" spans="55:82" ht="16.5" hidden="1" customHeight="1" x14ac:dyDescent="0.25">
      <c r="BC222" s="43" t="str">
        <f t="shared" si="3"/>
        <v>II = Wohnen EFHmrenossd</v>
      </c>
      <c r="BD222" s="43" t="s">
        <v>271</v>
      </c>
      <c r="BE222" s="56" t="s">
        <v>8</v>
      </c>
      <c r="BF222" s="33" t="s">
        <v>313</v>
      </c>
      <c r="BG222" s="33" t="s">
        <v>97</v>
      </c>
      <c r="BH222" s="33">
        <v>0.2</v>
      </c>
      <c r="BI222" s="33">
        <v>0.2</v>
      </c>
      <c r="CC222" s="58"/>
      <c r="CD222" s="58"/>
    </row>
    <row r="223" spans="55:82" ht="16.5" hidden="1" customHeight="1" x14ac:dyDescent="0.25">
      <c r="BC223" s="43" t="str">
        <f t="shared" si="3"/>
        <v>II = Wohnen EFHsrenossd</v>
      </c>
      <c r="BD223" s="43" t="s">
        <v>271</v>
      </c>
      <c r="BE223" s="56" t="s">
        <v>11</v>
      </c>
      <c r="BF223" s="33" t="s">
        <v>313</v>
      </c>
      <c r="BG223" s="33" t="s">
        <v>97</v>
      </c>
      <c r="BH223" s="33">
        <v>0.25</v>
      </c>
      <c r="BI223" s="33">
        <v>0.28000000000000003</v>
      </c>
      <c r="CC223" s="58"/>
      <c r="CD223" s="58"/>
    </row>
    <row r="224" spans="55:82" ht="16.5" hidden="1" customHeight="1" x14ac:dyDescent="0.25">
      <c r="BC224" s="43" t="str">
        <f t="shared" si="3"/>
        <v>II = Wohnen EFHfenrenossd</v>
      </c>
      <c r="BD224" s="43" t="s">
        <v>271</v>
      </c>
      <c r="BE224" s="56" t="s">
        <v>12</v>
      </c>
      <c r="BF224" s="33" t="s">
        <v>313</v>
      </c>
      <c r="BG224" s="33" t="s">
        <v>97</v>
      </c>
      <c r="BH224" s="33" t="s">
        <v>164</v>
      </c>
      <c r="BI224" s="33" t="s">
        <v>164</v>
      </c>
      <c r="CC224" s="58"/>
      <c r="CD224" s="58"/>
    </row>
    <row r="225" spans="55:82" ht="16.5" hidden="1" customHeight="1" x14ac:dyDescent="0.25">
      <c r="BC225" s="43" t="str">
        <f t="shared" si="3"/>
        <v>II = Wohnen EFHportesrenossd</v>
      </c>
      <c r="BD225" s="43" t="s">
        <v>271</v>
      </c>
      <c r="BE225" s="56" t="s">
        <v>15</v>
      </c>
      <c r="BF225" s="33" t="s">
        <v>313</v>
      </c>
      <c r="BG225" s="33" t="s">
        <v>97</v>
      </c>
      <c r="BH225" s="33">
        <v>1.2</v>
      </c>
      <c r="BI225" s="33">
        <v>1.5</v>
      </c>
      <c r="CC225" s="58"/>
      <c r="CD225" s="58"/>
    </row>
    <row r="226" spans="55:82" ht="16.5" hidden="1" customHeight="1" x14ac:dyDescent="0.25">
      <c r="BC226" s="43" t="str">
        <f t="shared" si="3"/>
        <v>II = Wohnen EFHp343renossd</v>
      </c>
      <c r="BD226" s="43" t="s">
        <v>271</v>
      </c>
      <c r="BE226" s="56" t="s">
        <v>16</v>
      </c>
      <c r="BF226" s="33" t="s">
        <v>313</v>
      </c>
      <c r="BG226" s="33" t="s">
        <v>97</v>
      </c>
      <c r="BH226" s="33">
        <v>1.7</v>
      </c>
      <c r="BI226" s="33">
        <v>2</v>
      </c>
      <c r="CC226" s="58"/>
      <c r="CD226" s="58"/>
    </row>
    <row r="227" spans="55:82" ht="16.5" hidden="1" customHeight="1" x14ac:dyDescent="0.25">
      <c r="BC227" s="43" t="str">
        <f t="shared" si="3"/>
        <v>II = Wohnen EFHstoresrenossd</v>
      </c>
      <c r="BD227" s="43" t="s">
        <v>271</v>
      </c>
      <c r="BE227" s="56" t="s">
        <v>19</v>
      </c>
      <c r="BF227" s="33" t="s">
        <v>313</v>
      </c>
      <c r="BG227" s="33" t="s">
        <v>97</v>
      </c>
      <c r="BH227" s="33">
        <v>0.5</v>
      </c>
      <c r="BI227" s="33">
        <v>0.5</v>
      </c>
      <c r="CC227" s="58"/>
      <c r="CD227" s="58"/>
    </row>
    <row r="228" spans="55:82" ht="16.5" hidden="1" customHeight="1" x14ac:dyDescent="0.25">
      <c r="BC228" s="43" t="str">
        <f t="shared" si="3"/>
        <v>I = Wohnen MFHtprenosse</v>
      </c>
      <c r="BD228" s="43" t="s">
        <v>270</v>
      </c>
      <c r="BE228" s="56" t="s">
        <v>5</v>
      </c>
      <c r="BF228" s="33" t="s">
        <v>313</v>
      </c>
      <c r="BG228" s="33" t="s">
        <v>98</v>
      </c>
      <c r="BH228" s="33">
        <v>0.2</v>
      </c>
      <c r="BI228" s="33">
        <v>0.2</v>
      </c>
      <c r="CC228" s="58"/>
      <c r="CD228" s="58"/>
    </row>
    <row r="229" spans="55:82" ht="16.5" hidden="1" customHeight="1" x14ac:dyDescent="0.25">
      <c r="BC229" s="43" t="str">
        <f t="shared" si="3"/>
        <v>I = Wohnen MFHmrenosse</v>
      </c>
      <c r="BD229" s="43" t="s">
        <v>270</v>
      </c>
      <c r="BE229" s="56" t="s">
        <v>8</v>
      </c>
      <c r="BF229" s="33" t="s">
        <v>313</v>
      </c>
      <c r="BG229" s="33" t="s">
        <v>98</v>
      </c>
      <c r="BH229" s="33">
        <v>0.25</v>
      </c>
      <c r="BI229" s="33">
        <v>0.28000000000000003</v>
      </c>
      <c r="CC229" s="58"/>
      <c r="CD229" s="58"/>
    </row>
    <row r="230" spans="55:82" ht="16.5" hidden="1" customHeight="1" x14ac:dyDescent="0.25">
      <c r="BC230" s="43" t="str">
        <f t="shared" si="3"/>
        <v>I = Wohnen MFHsrenosse</v>
      </c>
      <c r="BD230" s="43" t="s">
        <v>270</v>
      </c>
      <c r="BE230" s="56" t="s">
        <v>11</v>
      </c>
      <c r="BF230" s="33" t="s">
        <v>313</v>
      </c>
      <c r="BG230" s="33" t="s">
        <v>98</v>
      </c>
      <c r="BH230" s="33">
        <v>0.25</v>
      </c>
      <c r="BI230" s="33">
        <v>0.28000000000000003</v>
      </c>
      <c r="CC230" s="58"/>
      <c r="CD230" s="58"/>
    </row>
    <row r="231" spans="55:82" ht="16.5" hidden="1" customHeight="1" x14ac:dyDescent="0.25">
      <c r="BC231" s="43" t="str">
        <f t="shared" si="3"/>
        <v>I = Wohnen MFHfenrenosse</v>
      </c>
      <c r="BD231" s="43" t="s">
        <v>270</v>
      </c>
      <c r="BE231" s="56" t="s">
        <v>12</v>
      </c>
      <c r="BF231" s="33" t="s">
        <v>313</v>
      </c>
      <c r="BG231" s="33" t="s">
        <v>98</v>
      </c>
      <c r="BH231" s="33" t="s">
        <v>164</v>
      </c>
      <c r="BI231" s="33" t="s">
        <v>164</v>
      </c>
      <c r="CC231" s="58"/>
      <c r="CD231" s="58"/>
    </row>
    <row r="232" spans="55:82" ht="16.5" hidden="1" customHeight="1" x14ac:dyDescent="0.25">
      <c r="BC232" s="43" t="str">
        <f t="shared" si="3"/>
        <v>I = Wohnen MFHportesrenosse</v>
      </c>
      <c r="BD232" s="43" t="s">
        <v>270</v>
      </c>
      <c r="BE232" s="56" t="s">
        <v>15</v>
      </c>
      <c r="BF232" s="33" t="s">
        <v>313</v>
      </c>
      <c r="BG232" s="33" t="s">
        <v>98</v>
      </c>
      <c r="BH232" s="33">
        <v>1.2</v>
      </c>
      <c r="BI232" s="33">
        <v>1.5</v>
      </c>
      <c r="CC232" s="58"/>
      <c r="CD232" s="58"/>
    </row>
    <row r="233" spans="55:82" ht="12.75" hidden="1" x14ac:dyDescent="0.25">
      <c r="BC233" s="43" t="str">
        <f t="shared" si="3"/>
        <v>I = Wohnen MFHp343renosse</v>
      </c>
      <c r="BD233" s="43" t="s">
        <v>270</v>
      </c>
      <c r="BE233" s="56" t="s">
        <v>16</v>
      </c>
      <c r="BF233" s="33" t="s">
        <v>313</v>
      </c>
      <c r="BG233" s="33" t="s">
        <v>98</v>
      </c>
      <c r="BH233" s="33">
        <v>1.7</v>
      </c>
      <c r="BI233" s="33">
        <v>2</v>
      </c>
      <c r="CC233" s="58"/>
      <c r="CD233" s="58"/>
    </row>
    <row r="234" spans="55:82" ht="12.75" hidden="1" x14ac:dyDescent="0.25">
      <c r="BC234" s="43" t="str">
        <f t="shared" si="3"/>
        <v>I = Wohnen MFHstoresrenosse</v>
      </c>
      <c r="BD234" s="43" t="s">
        <v>270</v>
      </c>
      <c r="BE234" s="56" t="s">
        <v>19</v>
      </c>
      <c r="BF234" s="33" t="s">
        <v>313</v>
      </c>
      <c r="BG234" s="33" t="s">
        <v>98</v>
      </c>
      <c r="BH234" s="33">
        <v>0.5</v>
      </c>
      <c r="BI234" s="33">
        <v>0.5</v>
      </c>
      <c r="CC234" s="58"/>
      <c r="CD234" s="58"/>
    </row>
    <row r="235" spans="55:82" ht="12.75" hidden="1" x14ac:dyDescent="0.25">
      <c r="BC235" s="43" t="str">
        <f t="shared" si="3"/>
        <v>II = Wohnen EFHtprenosse</v>
      </c>
      <c r="BD235" s="43" t="s">
        <v>271</v>
      </c>
      <c r="BE235" s="56" t="s">
        <v>5</v>
      </c>
      <c r="BF235" s="33" t="s">
        <v>313</v>
      </c>
      <c r="BG235" s="33" t="s">
        <v>98</v>
      </c>
      <c r="BH235" s="33">
        <v>0.2</v>
      </c>
      <c r="BI235" s="33">
        <v>0.2</v>
      </c>
      <c r="CC235" s="58"/>
      <c r="CD235" s="58"/>
    </row>
    <row r="236" spans="55:82" ht="12.75" hidden="1" x14ac:dyDescent="0.25">
      <c r="BC236" s="43" t="str">
        <f t="shared" si="3"/>
        <v>II = Wohnen EFHmrenosse</v>
      </c>
      <c r="BD236" s="43" t="s">
        <v>271</v>
      </c>
      <c r="BE236" s="56" t="s">
        <v>8</v>
      </c>
      <c r="BF236" s="33" t="s">
        <v>313</v>
      </c>
      <c r="BG236" s="33" t="s">
        <v>98</v>
      </c>
      <c r="BH236" s="33">
        <v>0.25</v>
      </c>
      <c r="BI236" s="33">
        <v>0.28000000000000003</v>
      </c>
      <c r="CC236" s="58"/>
      <c r="CD236" s="58"/>
    </row>
    <row r="237" spans="55:82" ht="12.75" hidden="1" x14ac:dyDescent="0.25">
      <c r="BC237" s="43" t="str">
        <f t="shared" si="3"/>
        <v>II = Wohnen EFHsrenosse</v>
      </c>
      <c r="BD237" s="43" t="s">
        <v>271</v>
      </c>
      <c r="BE237" s="56" t="s">
        <v>11</v>
      </c>
      <c r="BF237" s="33" t="s">
        <v>313</v>
      </c>
      <c r="BG237" s="33" t="s">
        <v>98</v>
      </c>
      <c r="BH237" s="33">
        <v>0.25</v>
      </c>
      <c r="BI237" s="33">
        <v>0.28000000000000003</v>
      </c>
      <c r="CC237" s="58"/>
      <c r="CD237" s="58"/>
    </row>
    <row r="238" spans="55:82" ht="12.75" hidden="1" x14ac:dyDescent="0.25">
      <c r="BC238" s="43" t="str">
        <f t="shared" si="3"/>
        <v>II = Wohnen EFHfenrenosse</v>
      </c>
      <c r="BD238" s="43" t="s">
        <v>271</v>
      </c>
      <c r="BE238" s="56" t="s">
        <v>12</v>
      </c>
      <c r="BF238" s="33" t="s">
        <v>313</v>
      </c>
      <c r="BG238" s="33" t="s">
        <v>98</v>
      </c>
      <c r="BH238" s="33" t="s">
        <v>164</v>
      </c>
      <c r="BI238" s="33" t="s">
        <v>164</v>
      </c>
      <c r="CC238" s="58"/>
      <c r="CD238" s="58"/>
    </row>
    <row r="239" spans="55:82" ht="12.75" hidden="1" x14ac:dyDescent="0.25">
      <c r="BC239" s="43" t="str">
        <f t="shared" si="3"/>
        <v>II = Wohnen EFHportesrenosse</v>
      </c>
      <c r="BD239" s="43" t="s">
        <v>271</v>
      </c>
      <c r="BE239" s="56" t="s">
        <v>15</v>
      </c>
      <c r="BF239" s="33" t="s">
        <v>313</v>
      </c>
      <c r="BG239" s="33" t="s">
        <v>98</v>
      </c>
      <c r="BH239" s="33">
        <v>1.2</v>
      </c>
      <c r="BI239" s="33">
        <v>1.5</v>
      </c>
      <c r="CC239" s="58"/>
      <c r="CD239" s="58"/>
    </row>
    <row r="240" spans="55:82" ht="12.75" hidden="1" x14ac:dyDescent="0.25">
      <c r="BC240" s="43" t="str">
        <f t="shared" si="3"/>
        <v>II = Wohnen EFHp343renosse</v>
      </c>
      <c r="BD240" s="43" t="s">
        <v>271</v>
      </c>
      <c r="BE240" s="56" t="s">
        <v>16</v>
      </c>
      <c r="BF240" s="33" t="s">
        <v>313</v>
      </c>
      <c r="BG240" s="33" t="s">
        <v>98</v>
      </c>
      <c r="BH240" s="33">
        <v>1.7</v>
      </c>
      <c r="BI240" s="33">
        <v>2</v>
      </c>
      <c r="CC240" s="58"/>
      <c r="CD240" s="58"/>
    </row>
    <row r="241" spans="55:82" ht="12.75" hidden="1" x14ac:dyDescent="0.25">
      <c r="BC241" s="43" t="str">
        <f t="shared" si="3"/>
        <v>II = Wohnen EFHstoresrenosse</v>
      </c>
      <c r="BD241" s="43" t="s">
        <v>271</v>
      </c>
      <c r="BE241" s="56" t="s">
        <v>19</v>
      </c>
      <c r="BF241" s="33" t="s">
        <v>313</v>
      </c>
      <c r="BG241" s="33" t="s">
        <v>98</v>
      </c>
      <c r="BH241" s="33">
        <v>0.5</v>
      </c>
      <c r="BI241" s="33">
        <v>0.5</v>
      </c>
      <c r="CC241" s="58"/>
      <c r="CD241" s="58"/>
    </row>
    <row r="242" spans="55:82" ht="12.75" hidden="1" x14ac:dyDescent="0.25">
      <c r="BC242" s="43" t="str">
        <f t="shared" si="3"/>
        <v>I = Wohnen MFHtprenossf</v>
      </c>
      <c r="BD242" s="43" t="s">
        <v>270</v>
      </c>
      <c r="BE242" s="56" t="s">
        <v>5</v>
      </c>
      <c r="BF242" s="33" t="s">
        <v>313</v>
      </c>
      <c r="BG242" s="33" t="s">
        <v>99</v>
      </c>
      <c r="BH242" s="33">
        <v>0.2</v>
      </c>
      <c r="BI242" s="33">
        <v>0.2</v>
      </c>
    </row>
    <row r="243" spans="55:82" ht="12.75" hidden="1" x14ac:dyDescent="0.25">
      <c r="BC243" s="43" t="str">
        <f t="shared" si="3"/>
        <v>I = Wohnen MFHmrenossf</v>
      </c>
      <c r="BD243" s="43" t="s">
        <v>270</v>
      </c>
      <c r="BE243" s="56" t="s">
        <v>8</v>
      </c>
      <c r="BF243" s="33" t="s">
        <v>313</v>
      </c>
      <c r="BG243" s="33" t="s">
        <v>99</v>
      </c>
      <c r="BH243" s="33">
        <v>0.2</v>
      </c>
      <c r="BI243" s="33">
        <v>0.2</v>
      </c>
    </row>
    <row r="244" spans="55:82" ht="12.75" hidden="1" x14ac:dyDescent="0.25">
      <c r="BC244" s="43" t="str">
        <f t="shared" si="3"/>
        <v>I = Wohnen MFHsrenossf</v>
      </c>
      <c r="BD244" s="43" t="s">
        <v>270</v>
      </c>
      <c r="BE244" s="56" t="s">
        <v>11</v>
      </c>
      <c r="BF244" s="33" t="s">
        <v>313</v>
      </c>
      <c r="BG244" s="33" t="s">
        <v>99</v>
      </c>
      <c r="BH244" s="33">
        <v>0.25</v>
      </c>
      <c r="BI244" s="33">
        <v>0.28000000000000003</v>
      </c>
    </row>
    <row r="245" spans="55:82" ht="12.75" hidden="1" x14ac:dyDescent="0.25">
      <c r="BC245" s="43" t="str">
        <f t="shared" si="3"/>
        <v>I = Wohnen MFHfenrenossf</v>
      </c>
      <c r="BD245" s="43" t="s">
        <v>270</v>
      </c>
      <c r="BE245" s="56" t="s">
        <v>12</v>
      </c>
      <c r="BF245" s="33" t="s">
        <v>313</v>
      </c>
      <c r="BG245" s="33" t="s">
        <v>99</v>
      </c>
      <c r="BH245" s="33" t="s">
        <v>145</v>
      </c>
      <c r="BI245" s="33" t="s">
        <v>146</v>
      </c>
    </row>
    <row r="246" spans="55:82" ht="12.75" hidden="1" x14ac:dyDescent="0.25">
      <c r="BC246" s="43" t="str">
        <f t="shared" si="3"/>
        <v>I = Wohnen MFHportesrenossf</v>
      </c>
      <c r="BD246" s="43" t="s">
        <v>270</v>
      </c>
      <c r="BE246" s="56" t="s">
        <v>15</v>
      </c>
      <c r="BF246" s="33" t="s">
        <v>313</v>
      </c>
      <c r="BG246" s="33" t="s">
        <v>99</v>
      </c>
      <c r="BH246" s="33">
        <v>1.2</v>
      </c>
      <c r="BI246" s="33">
        <v>1.5</v>
      </c>
      <c r="CC246" s="58"/>
      <c r="CD246" s="58"/>
    </row>
    <row r="247" spans="55:82" ht="12.75" hidden="1" x14ac:dyDescent="0.25">
      <c r="BC247" s="43" t="str">
        <f t="shared" si="3"/>
        <v>I = Wohnen MFHp343renossf</v>
      </c>
      <c r="BD247" s="43" t="s">
        <v>270</v>
      </c>
      <c r="BE247" s="56" t="s">
        <v>16</v>
      </c>
      <c r="BF247" s="33" t="s">
        <v>313</v>
      </c>
      <c r="BG247" s="33" t="s">
        <v>99</v>
      </c>
      <c r="BH247" s="33">
        <v>1.7</v>
      </c>
      <c r="BI247" s="33">
        <v>2</v>
      </c>
      <c r="CC247" s="58"/>
      <c r="CD247" s="58"/>
    </row>
    <row r="248" spans="55:82" ht="12.75" hidden="1" x14ac:dyDescent="0.25">
      <c r="BC248" s="43" t="str">
        <f t="shared" si="3"/>
        <v>I = Wohnen MFHstoresrenossf</v>
      </c>
      <c r="BD248" s="43" t="s">
        <v>270</v>
      </c>
      <c r="BE248" s="56" t="s">
        <v>19</v>
      </c>
      <c r="BF248" s="33" t="s">
        <v>313</v>
      </c>
      <c r="BG248" s="33" t="s">
        <v>99</v>
      </c>
      <c r="BH248" s="33">
        <v>0.5</v>
      </c>
      <c r="BI248" s="33">
        <v>0.5</v>
      </c>
      <c r="CC248" s="58"/>
      <c r="CD248" s="58"/>
    </row>
    <row r="249" spans="55:82" ht="12.75" hidden="1" x14ac:dyDescent="0.25">
      <c r="BC249" s="43" t="str">
        <f t="shared" si="3"/>
        <v>II = Wohnen EFHtprenossf</v>
      </c>
      <c r="BD249" s="43" t="s">
        <v>271</v>
      </c>
      <c r="BE249" s="56" t="s">
        <v>5</v>
      </c>
      <c r="BF249" s="33" t="s">
        <v>313</v>
      </c>
      <c r="BG249" s="33" t="s">
        <v>99</v>
      </c>
      <c r="BH249" s="33">
        <v>0.2</v>
      </c>
      <c r="BI249" s="33">
        <v>0.2</v>
      </c>
      <c r="CC249" s="58"/>
      <c r="CD249" s="58"/>
    </row>
    <row r="250" spans="55:82" ht="12.75" hidden="1" x14ac:dyDescent="0.25">
      <c r="BC250" s="43" t="str">
        <f t="shared" si="3"/>
        <v>II = Wohnen EFHmrenossf</v>
      </c>
      <c r="BD250" s="43" t="s">
        <v>271</v>
      </c>
      <c r="BE250" s="56" t="s">
        <v>8</v>
      </c>
      <c r="BF250" s="33" t="s">
        <v>313</v>
      </c>
      <c r="BG250" s="33" t="s">
        <v>99</v>
      </c>
      <c r="BH250" s="33">
        <v>0.2</v>
      </c>
      <c r="BI250" s="33">
        <v>0.2</v>
      </c>
      <c r="CC250" s="58"/>
      <c r="CD250" s="58"/>
    </row>
    <row r="251" spans="55:82" ht="12.75" hidden="1" x14ac:dyDescent="0.25">
      <c r="BC251" s="43" t="str">
        <f t="shared" si="3"/>
        <v>II = Wohnen EFHsrenossf</v>
      </c>
      <c r="BD251" s="43" t="s">
        <v>271</v>
      </c>
      <c r="BE251" s="56" t="s">
        <v>11</v>
      </c>
      <c r="BF251" s="33" t="s">
        <v>313</v>
      </c>
      <c r="BG251" s="33" t="s">
        <v>99</v>
      </c>
      <c r="BH251" s="33">
        <v>0.25</v>
      </c>
      <c r="BI251" s="33">
        <v>0.28000000000000003</v>
      </c>
      <c r="CC251" s="58"/>
      <c r="CD251" s="58"/>
    </row>
    <row r="252" spans="55:82" ht="12.75" hidden="1" x14ac:dyDescent="0.25">
      <c r="BC252" s="43" t="str">
        <f t="shared" si="3"/>
        <v>II = Wohnen EFHfenrenossf</v>
      </c>
      <c r="BD252" s="43" t="s">
        <v>271</v>
      </c>
      <c r="BE252" s="56" t="s">
        <v>12</v>
      </c>
      <c r="BF252" s="33" t="s">
        <v>313</v>
      </c>
      <c r="BG252" s="33" t="s">
        <v>99</v>
      </c>
      <c r="BH252" s="33" t="s">
        <v>145</v>
      </c>
      <c r="BI252" s="33" t="s">
        <v>146</v>
      </c>
      <c r="CC252" s="58"/>
      <c r="CD252" s="58"/>
    </row>
    <row r="253" spans="55:82" ht="12.75" hidden="1" x14ac:dyDescent="0.25">
      <c r="BC253" s="43" t="str">
        <f t="shared" si="3"/>
        <v>II = Wohnen EFHportesrenossf</v>
      </c>
      <c r="BD253" s="43" t="s">
        <v>271</v>
      </c>
      <c r="BE253" s="56" t="s">
        <v>15</v>
      </c>
      <c r="BF253" s="33" t="s">
        <v>313</v>
      </c>
      <c r="BG253" s="33" t="s">
        <v>99</v>
      </c>
      <c r="BH253" s="33">
        <v>1.2</v>
      </c>
      <c r="BI253" s="33">
        <v>1.5</v>
      </c>
      <c r="CC253" s="58"/>
      <c r="CD253" s="58"/>
    </row>
    <row r="254" spans="55:82" ht="12.75" hidden="1" x14ac:dyDescent="0.25">
      <c r="BC254" s="43" t="str">
        <f t="shared" si="3"/>
        <v>II = Wohnen EFHp343renossf</v>
      </c>
      <c r="BD254" s="43" t="s">
        <v>271</v>
      </c>
      <c r="BE254" s="56" t="s">
        <v>16</v>
      </c>
      <c r="BF254" s="33" t="s">
        <v>313</v>
      </c>
      <c r="BG254" s="33" t="s">
        <v>99</v>
      </c>
      <c r="BH254" s="33">
        <v>1.7</v>
      </c>
      <c r="BI254" s="33">
        <v>2</v>
      </c>
    </row>
    <row r="255" spans="55:82" ht="12.75" hidden="1" x14ac:dyDescent="0.25">
      <c r="BC255" s="43" t="str">
        <f t="shared" si="3"/>
        <v>II = Wohnen EFHstoresrenossf</v>
      </c>
      <c r="BD255" s="43" t="s">
        <v>271</v>
      </c>
      <c r="BE255" s="56" t="s">
        <v>19</v>
      </c>
      <c r="BF255" s="33" t="s">
        <v>313</v>
      </c>
      <c r="BG255" s="33" t="s">
        <v>99</v>
      </c>
      <c r="BH255" s="33">
        <v>0.5</v>
      </c>
      <c r="BI255" s="33">
        <v>0.5</v>
      </c>
    </row>
    <row r="256" spans="55:82" ht="12.75" hidden="1" x14ac:dyDescent="0.25">
      <c r="BC256" s="43" t="str">
        <f t="shared" si="3"/>
        <v>I = Wohnen MFHtprenossh</v>
      </c>
      <c r="BD256" s="43" t="s">
        <v>270</v>
      </c>
      <c r="BE256" s="56" t="s">
        <v>5</v>
      </c>
      <c r="BF256" s="33" t="s">
        <v>313</v>
      </c>
      <c r="BG256" s="33" t="s">
        <v>138</v>
      </c>
      <c r="BH256" s="33">
        <v>0.25</v>
      </c>
      <c r="BI256" s="33">
        <v>0.28000000000000003</v>
      </c>
    </row>
    <row r="257" spans="55:82" ht="12.75" hidden="1" x14ac:dyDescent="0.25">
      <c r="BC257" s="43" t="str">
        <f t="shared" si="3"/>
        <v>I = Wohnen MFHmrenossh</v>
      </c>
      <c r="BD257" s="43" t="s">
        <v>270</v>
      </c>
      <c r="BE257" s="56" t="s">
        <v>8</v>
      </c>
      <c r="BF257" s="33" t="s">
        <v>313</v>
      </c>
      <c r="BG257" s="33" t="s">
        <v>138</v>
      </c>
      <c r="BH257" s="33">
        <v>0.25</v>
      </c>
      <c r="BI257" s="33">
        <v>0.28000000000000003</v>
      </c>
    </row>
    <row r="258" spans="55:82" ht="12.75" hidden="1" x14ac:dyDescent="0.25">
      <c r="BC258" s="43" t="str">
        <f t="shared" si="3"/>
        <v>I = Wohnen MFHsrenossh</v>
      </c>
      <c r="BD258" s="43" t="s">
        <v>270</v>
      </c>
      <c r="BE258" s="56" t="s">
        <v>11</v>
      </c>
      <c r="BF258" s="33" t="s">
        <v>313</v>
      </c>
      <c r="BG258" s="33" t="s">
        <v>138</v>
      </c>
      <c r="BH258" s="33">
        <v>0.25</v>
      </c>
      <c r="BI258" s="33">
        <v>0.28000000000000003</v>
      </c>
      <c r="CC258" s="58"/>
      <c r="CD258" s="58"/>
    </row>
    <row r="259" spans="55:82" ht="12.75" hidden="1" x14ac:dyDescent="0.25">
      <c r="BC259" s="43" t="str">
        <f t="shared" si="3"/>
        <v>I = Wohnen MFHfenrenossh</v>
      </c>
      <c r="BD259" s="43" t="s">
        <v>270</v>
      </c>
      <c r="BE259" s="56" t="s">
        <v>12</v>
      </c>
      <c r="BF259" s="33" t="s">
        <v>313</v>
      </c>
      <c r="BG259" s="33" t="s">
        <v>138</v>
      </c>
      <c r="BH259" s="33" t="s">
        <v>164</v>
      </c>
      <c r="BI259" s="33" t="s">
        <v>164</v>
      </c>
      <c r="CC259" s="58"/>
      <c r="CD259" s="58"/>
    </row>
    <row r="260" spans="55:82" ht="12.75" hidden="1" x14ac:dyDescent="0.25">
      <c r="BC260" s="43" t="str">
        <f t="shared" si="3"/>
        <v>I = Wohnen MFHportesrenossh</v>
      </c>
      <c r="BD260" s="43" t="s">
        <v>270</v>
      </c>
      <c r="BE260" s="56" t="s">
        <v>15</v>
      </c>
      <c r="BF260" s="33" t="s">
        <v>313</v>
      </c>
      <c r="BG260" s="33" t="s">
        <v>138</v>
      </c>
      <c r="BH260" s="33">
        <v>1.2</v>
      </c>
      <c r="BI260" s="33">
        <v>1.5</v>
      </c>
      <c r="CC260" s="58"/>
      <c r="CD260" s="58"/>
    </row>
    <row r="261" spans="55:82" ht="12.75" hidden="1" x14ac:dyDescent="0.25">
      <c r="BC261" s="43" t="str">
        <f t="shared" si="3"/>
        <v>I = Wohnen MFHp343renossh</v>
      </c>
      <c r="BD261" s="43" t="s">
        <v>270</v>
      </c>
      <c r="BE261" s="56" t="s">
        <v>16</v>
      </c>
      <c r="BF261" s="33" t="s">
        <v>313</v>
      </c>
      <c r="BG261" s="33" t="s">
        <v>138</v>
      </c>
      <c r="BH261" s="33">
        <v>1.7</v>
      </c>
      <c r="BI261" s="33">
        <v>2</v>
      </c>
      <c r="CC261" s="58"/>
      <c r="CD261" s="58"/>
    </row>
    <row r="262" spans="55:82" ht="12.75" hidden="1" x14ac:dyDescent="0.25">
      <c r="BC262" s="43" t="str">
        <f t="shared" si="3"/>
        <v>I = Wohnen MFHstoresrenossh</v>
      </c>
      <c r="BD262" s="43" t="s">
        <v>270</v>
      </c>
      <c r="BE262" s="56" t="s">
        <v>19</v>
      </c>
      <c r="BF262" s="33" t="s">
        <v>313</v>
      </c>
      <c r="BG262" s="33" t="s">
        <v>138</v>
      </c>
      <c r="BH262" s="33">
        <v>0.5</v>
      </c>
      <c r="BI262" s="33">
        <v>0.5</v>
      </c>
      <c r="CC262" s="58"/>
      <c r="CD262" s="58"/>
    </row>
    <row r="263" spans="55:82" ht="12.75" hidden="1" x14ac:dyDescent="0.25">
      <c r="BC263" s="43" t="str">
        <f t="shared" si="3"/>
        <v>II = Wohnen EFHtprenossh</v>
      </c>
      <c r="BD263" s="43" t="s">
        <v>271</v>
      </c>
      <c r="BE263" s="56" t="s">
        <v>5</v>
      </c>
      <c r="BF263" s="33" t="s">
        <v>313</v>
      </c>
      <c r="BG263" s="33" t="s">
        <v>138</v>
      </c>
      <c r="BH263" s="33">
        <v>0.25</v>
      </c>
      <c r="BI263" s="33">
        <v>0.28000000000000003</v>
      </c>
      <c r="CC263" s="58"/>
      <c r="CD263" s="58"/>
    </row>
    <row r="264" spans="55:82" ht="12.75" hidden="1" x14ac:dyDescent="0.25">
      <c r="BC264" s="43" t="str">
        <f t="shared" si="3"/>
        <v>II = Wohnen EFHmrenossh</v>
      </c>
      <c r="BD264" s="43" t="s">
        <v>271</v>
      </c>
      <c r="BE264" s="56" t="s">
        <v>8</v>
      </c>
      <c r="BF264" s="33" t="s">
        <v>313</v>
      </c>
      <c r="BG264" s="33" t="s">
        <v>138</v>
      </c>
      <c r="BH264" s="33">
        <v>0.25</v>
      </c>
      <c r="BI264" s="33">
        <v>0.28000000000000003</v>
      </c>
      <c r="CC264" s="58"/>
      <c r="CD264" s="58"/>
    </row>
    <row r="265" spans="55:82" ht="12.75" hidden="1" x14ac:dyDescent="0.25">
      <c r="BC265" s="43" t="str">
        <f t="shared" ref="BC265:BC328" si="4">BD265&amp;BE265&amp;BF265&amp;BG265</f>
        <v>II = Wohnen EFHsrenossh</v>
      </c>
      <c r="BD265" s="43" t="s">
        <v>271</v>
      </c>
      <c r="BE265" s="56" t="s">
        <v>11</v>
      </c>
      <c r="BF265" s="33" t="s">
        <v>313</v>
      </c>
      <c r="BG265" s="33" t="s">
        <v>138</v>
      </c>
      <c r="BH265" s="33">
        <v>0.25</v>
      </c>
      <c r="BI265" s="33">
        <v>0.28000000000000003</v>
      </c>
      <c r="CC265" s="58"/>
      <c r="CD265" s="58"/>
    </row>
    <row r="266" spans="55:82" ht="12.75" hidden="1" x14ac:dyDescent="0.25">
      <c r="BC266" s="43" t="str">
        <f t="shared" si="4"/>
        <v>II = Wohnen EFHfenrenossh</v>
      </c>
      <c r="BD266" s="43" t="s">
        <v>271</v>
      </c>
      <c r="BE266" s="56" t="s">
        <v>12</v>
      </c>
      <c r="BF266" s="33" t="s">
        <v>313</v>
      </c>
      <c r="BG266" s="33" t="s">
        <v>138</v>
      </c>
      <c r="BH266" s="33" t="s">
        <v>164</v>
      </c>
      <c r="BI266" s="33" t="s">
        <v>164</v>
      </c>
      <c r="CC266" s="58"/>
      <c r="CD266" s="58"/>
    </row>
    <row r="267" spans="55:82" ht="12.75" hidden="1" x14ac:dyDescent="0.25">
      <c r="BC267" s="43" t="str">
        <f t="shared" si="4"/>
        <v>II = Wohnen EFHportesrenossh</v>
      </c>
      <c r="BD267" s="43" t="s">
        <v>271</v>
      </c>
      <c r="BE267" s="56" t="s">
        <v>15</v>
      </c>
      <c r="BF267" s="33" t="s">
        <v>313</v>
      </c>
      <c r="BG267" s="33" t="s">
        <v>138</v>
      </c>
      <c r="BH267" s="33">
        <v>1.2</v>
      </c>
      <c r="BI267" s="33">
        <v>1.5</v>
      </c>
      <c r="CC267" s="58"/>
      <c r="CD267" s="58"/>
    </row>
    <row r="268" spans="55:82" ht="12.75" hidden="1" x14ac:dyDescent="0.25">
      <c r="BC268" s="43" t="str">
        <f t="shared" si="4"/>
        <v>II = Wohnen EFHp343renossh</v>
      </c>
      <c r="BD268" s="43" t="s">
        <v>271</v>
      </c>
      <c r="BE268" s="56" t="s">
        <v>16</v>
      </c>
      <c r="BF268" s="33" t="s">
        <v>313</v>
      </c>
      <c r="BG268" s="33" t="s">
        <v>138</v>
      </c>
      <c r="BH268" s="33">
        <v>1.7</v>
      </c>
      <c r="BI268" s="33">
        <v>2</v>
      </c>
      <c r="CC268" s="58"/>
      <c r="CD268" s="58"/>
    </row>
    <row r="269" spans="55:82" ht="12.75" hidden="1" x14ac:dyDescent="0.25">
      <c r="BC269" s="43" t="str">
        <f t="shared" si="4"/>
        <v>II = Wohnen EFHstoresrenossh</v>
      </c>
      <c r="BD269" s="43" t="s">
        <v>271</v>
      </c>
      <c r="BE269" s="56" t="s">
        <v>19</v>
      </c>
      <c r="BF269" s="33" t="s">
        <v>313</v>
      </c>
      <c r="BG269" s="33" t="s">
        <v>138</v>
      </c>
      <c r="BH269" s="33">
        <v>0.5</v>
      </c>
      <c r="BI269" s="33">
        <v>0.5</v>
      </c>
      <c r="CC269" s="58"/>
      <c r="CD269" s="58"/>
    </row>
    <row r="270" spans="55:82" ht="12.75" hidden="1" x14ac:dyDescent="0.25">
      <c r="BC270" s="43" t="str">
        <f t="shared" si="4"/>
        <v>I = Wohnen MFHtprenossi</v>
      </c>
      <c r="BD270" s="43" t="s">
        <v>270</v>
      </c>
      <c r="BE270" s="56" t="s">
        <v>5</v>
      </c>
      <c r="BF270" s="33" t="s">
        <v>313</v>
      </c>
      <c r="BG270" s="33" t="s">
        <v>139</v>
      </c>
      <c r="BH270" s="33">
        <v>0.25</v>
      </c>
      <c r="BI270" s="33">
        <v>0.28000000000000003</v>
      </c>
    </row>
    <row r="271" spans="55:82" ht="12.75" hidden="1" x14ac:dyDescent="0.25">
      <c r="BC271" s="43" t="str">
        <f t="shared" si="4"/>
        <v>I = Wohnen MFHmrenossi</v>
      </c>
      <c r="BD271" s="43" t="s">
        <v>270</v>
      </c>
      <c r="BE271" s="56" t="s">
        <v>8</v>
      </c>
      <c r="BF271" s="33" t="s">
        <v>313</v>
      </c>
      <c r="BG271" s="33" t="s">
        <v>139</v>
      </c>
      <c r="BH271" s="33">
        <v>0.2</v>
      </c>
      <c r="BI271" s="33">
        <v>0.2</v>
      </c>
    </row>
    <row r="272" spans="55:82" ht="12.75" hidden="1" x14ac:dyDescent="0.25">
      <c r="BC272" s="43" t="str">
        <f t="shared" si="4"/>
        <v>I = Wohnen MFHsrenossi</v>
      </c>
      <c r="BD272" s="43" t="s">
        <v>270</v>
      </c>
      <c r="BE272" s="56" t="s">
        <v>11</v>
      </c>
      <c r="BF272" s="33" t="s">
        <v>313</v>
      </c>
      <c r="BG272" s="33" t="s">
        <v>139</v>
      </c>
      <c r="BH272" s="33">
        <v>0.25</v>
      </c>
      <c r="BI272" s="33">
        <v>0.28000000000000003</v>
      </c>
    </row>
    <row r="273" spans="55:82" ht="12.75" hidden="1" x14ac:dyDescent="0.25">
      <c r="BC273" s="43" t="str">
        <f t="shared" si="4"/>
        <v>I = Wohnen MFHfenrenossi</v>
      </c>
      <c r="BD273" s="43" t="s">
        <v>270</v>
      </c>
      <c r="BE273" s="56" t="s">
        <v>12</v>
      </c>
      <c r="BF273" s="33" t="s">
        <v>313</v>
      </c>
      <c r="BG273" s="33" t="s">
        <v>139</v>
      </c>
      <c r="BH273" s="33" t="s">
        <v>145</v>
      </c>
      <c r="BI273" s="33" t="s">
        <v>146</v>
      </c>
      <c r="CC273" s="58"/>
      <c r="CD273" s="58"/>
    </row>
    <row r="274" spans="55:82" ht="12.75" hidden="1" x14ac:dyDescent="0.25">
      <c r="BC274" s="43" t="str">
        <f t="shared" si="4"/>
        <v>I = Wohnen MFHportesrenossi</v>
      </c>
      <c r="BD274" s="43" t="s">
        <v>270</v>
      </c>
      <c r="BE274" s="56" t="s">
        <v>15</v>
      </c>
      <c r="BF274" s="33" t="s">
        <v>313</v>
      </c>
      <c r="BG274" s="33" t="s">
        <v>139</v>
      </c>
      <c r="BH274" s="33">
        <v>1.2</v>
      </c>
      <c r="BI274" s="33">
        <v>1.5</v>
      </c>
      <c r="CC274" s="58"/>
      <c r="CD274" s="58"/>
    </row>
    <row r="275" spans="55:82" ht="12.75" hidden="1" x14ac:dyDescent="0.25">
      <c r="BC275" s="43" t="str">
        <f t="shared" si="4"/>
        <v>I = Wohnen MFHp343renossi</v>
      </c>
      <c r="BD275" s="43" t="s">
        <v>270</v>
      </c>
      <c r="BE275" s="56" t="s">
        <v>16</v>
      </c>
      <c r="BF275" s="33" t="s">
        <v>313</v>
      </c>
      <c r="BG275" s="33" t="s">
        <v>139</v>
      </c>
      <c r="BH275" s="33">
        <v>1.7</v>
      </c>
      <c r="BI275" s="33">
        <v>2</v>
      </c>
    </row>
    <row r="276" spans="55:82" ht="12.75" hidden="1" x14ac:dyDescent="0.25">
      <c r="BC276" s="43" t="str">
        <f t="shared" si="4"/>
        <v>I = Wohnen MFHstoresrenossi</v>
      </c>
      <c r="BD276" s="43" t="s">
        <v>270</v>
      </c>
      <c r="BE276" s="56" t="s">
        <v>19</v>
      </c>
      <c r="BF276" s="33" t="s">
        <v>313</v>
      </c>
      <c r="BG276" s="33" t="s">
        <v>139</v>
      </c>
      <c r="BH276" s="33">
        <v>0.5</v>
      </c>
      <c r="BI276" s="33">
        <v>0.5</v>
      </c>
    </row>
    <row r="277" spans="55:82" ht="12.75" hidden="1" x14ac:dyDescent="0.25">
      <c r="BC277" s="43" t="str">
        <f t="shared" si="4"/>
        <v>II = Wohnen EFHtprenossi</v>
      </c>
      <c r="BD277" s="43" t="s">
        <v>271</v>
      </c>
      <c r="BE277" s="56" t="s">
        <v>5</v>
      </c>
      <c r="BF277" s="33" t="s">
        <v>313</v>
      </c>
      <c r="BG277" s="33" t="s">
        <v>139</v>
      </c>
      <c r="BH277" s="33">
        <v>0.25</v>
      </c>
      <c r="BI277" s="33">
        <v>0.28000000000000003</v>
      </c>
    </row>
    <row r="278" spans="55:82" ht="12.75" hidden="1" x14ac:dyDescent="0.25">
      <c r="BC278" s="43" t="str">
        <f t="shared" si="4"/>
        <v>II = Wohnen EFHmrenossi</v>
      </c>
      <c r="BD278" s="43" t="s">
        <v>271</v>
      </c>
      <c r="BE278" s="56" t="s">
        <v>8</v>
      </c>
      <c r="BF278" s="33" t="s">
        <v>313</v>
      </c>
      <c r="BG278" s="33" t="s">
        <v>139</v>
      </c>
      <c r="BH278" s="33">
        <v>0.2</v>
      </c>
      <c r="BI278" s="33">
        <v>0.2</v>
      </c>
      <c r="CC278" s="58"/>
      <c r="CD278" s="58"/>
    </row>
    <row r="279" spans="55:82" ht="12.75" hidden="1" x14ac:dyDescent="0.25">
      <c r="BC279" s="43" t="str">
        <f t="shared" si="4"/>
        <v>II = Wohnen EFHsrenossi</v>
      </c>
      <c r="BD279" s="43" t="s">
        <v>271</v>
      </c>
      <c r="BE279" s="56" t="s">
        <v>11</v>
      </c>
      <c r="BF279" s="33" t="s">
        <v>313</v>
      </c>
      <c r="BG279" s="33" t="s">
        <v>139</v>
      </c>
      <c r="BH279" s="33">
        <v>0.25</v>
      </c>
      <c r="BI279" s="33">
        <v>0.28000000000000003</v>
      </c>
      <c r="CC279" s="58"/>
      <c r="CD279" s="58"/>
    </row>
    <row r="280" spans="55:82" ht="12.75" hidden="1" x14ac:dyDescent="0.25">
      <c r="BC280" s="43" t="str">
        <f t="shared" si="4"/>
        <v>II = Wohnen EFHfenrenossi</v>
      </c>
      <c r="BD280" s="43" t="s">
        <v>271</v>
      </c>
      <c r="BE280" s="56" t="s">
        <v>12</v>
      </c>
      <c r="BF280" s="33" t="s">
        <v>313</v>
      </c>
      <c r="BG280" s="33" t="s">
        <v>139</v>
      </c>
      <c r="BH280" s="33" t="s">
        <v>145</v>
      </c>
      <c r="BI280" s="33" t="s">
        <v>146</v>
      </c>
      <c r="CC280" s="58"/>
      <c r="CD280" s="58"/>
    </row>
    <row r="281" spans="55:82" ht="12.75" hidden="1" x14ac:dyDescent="0.25">
      <c r="BC281" s="43" t="str">
        <f t="shared" si="4"/>
        <v>II = Wohnen EFHportesrenossi</v>
      </c>
      <c r="BD281" s="43" t="s">
        <v>271</v>
      </c>
      <c r="BE281" s="56" t="s">
        <v>15</v>
      </c>
      <c r="BF281" s="33" t="s">
        <v>313</v>
      </c>
      <c r="BG281" s="33" t="s">
        <v>139</v>
      </c>
      <c r="BH281" s="33">
        <v>1.2</v>
      </c>
      <c r="BI281" s="33">
        <v>1.5</v>
      </c>
      <c r="CC281" s="58"/>
      <c r="CD281" s="58"/>
    </row>
    <row r="282" spans="55:82" ht="12.75" hidden="1" x14ac:dyDescent="0.25">
      <c r="BC282" s="43" t="str">
        <f t="shared" si="4"/>
        <v>II = Wohnen EFHp343renossi</v>
      </c>
      <c r="BD282" s="43" t="s">
        <v>271</v>
      </c>
      <c r="BE282" s="56" t="s">
        <v>16</v>
      </c>
      <c r="BF282" s="33" t="s">
        <v>313</v>
      </c>
      <c r="BG282" s="33" t="s">
        <v>139</v>
      </c>
      <c r="BH282" s="33">
        <v>1.7</v>
      </c>
      <c r="BI282" s="33">
        <v>2</v>
      </c>
      <c r="CC282" s="58"/>
      <c r="CD282" s="58"/>
    </row>
    <row r="283" spans="55:82" ht="12.75" hidden="1" x14ac:dyDescent="0.25">
      <c r="BC283" s="43" t="str">
        <f t="shared" si="4"/>
        <v>II = Wohnen EFHstoresrenossi</v>
      </c>
      <c r="BD283" s="43" t="s">
        <v>271</v>
      </c>
      <c r="BE283" s="56" t="s">
        <v>19</v>
      </c>
      <c r="BF283" s="33" t="s">
        <v>313</v>
      </c>
      <c r="BG283" s="33" t="s">
        <v>139</v>
      </c>
      <c r="BH283" s="33">
        <v>0.5</v>
      </c>
      <c r="BI283" s="33">
        <v>0.5</v>
      </c>
      <c r="CC283" s="58"/>
      <c r="CD283" s="58"/>
    </row>
    <row r="284" spans="55:82" ht="12.75" hidden="1" x14ac:dyDescent="0.25">
      <c r="BC284" s="43" t="str">
        <f t="shared" si="4"/>
        <v>I = Wohnen MFHtprenossj</v>
      </c>
      <c r="BD284" s="43" t="s">
        <v>270</v>
      </c>
      <c r="BE284" s="56" t="s">
        <v>5</v>
      </c>
      <c r="BF284" s="33" t="s">
        <v>313</v>
      </c>
      <c r="BG284" s="33" t="s">
        <v>140</v>
      </c>
      <c r="BH284" s="33">
        <v>0.2</v>
      </c>
      <c r="BI284" s="33">
        <v>0.2</v>
      </c>
      <c r="CC284" s="58"/>
      <c r="CD284" s="58"/>
    </row>
    <row r="285" spans="55:82" ht="12.75" hidden="1" x14ac:dyDescent="0.25">
      <c r="BC285" s="43" t="str">
        <f t="shared" si="4"/>
        <v>I = Wohnen MFHmrenossj</v>
      </c>
      <c r="BD285" s="43" t="s">
        <v>270</v>
      </c>
      <c r="BE285" s="56" t="s">
        <v>8</v>
      </c>
      <c r="BF285" s="33" t="s">
        <v>313</v>
      </c>
      <c r="BG285" s="33" t="s">
        <v>140</v>
      </c>
      <c r="BH285" s="33">
        <v>0.25</v>
      </c>
      <c r="BI285" s="33">
        <v>0.28000000000000003</v>
      </c>
      <c r="CC285" s="58"/>
      <c r="CD285" s="58"/>
    </row>
    <row r="286" spans="55:82" ht="12.75" hidden="1" x14ac:dyDescent="0.25">
      <c r="BC286" s="43" t="str">
        <f t="shared" si="4"/>
        <v>I = Wohnen MFHsrenossj</v>
      </c>
      <c r="BD286" s="43" t="s">
        <v>270</v>
      </c>
      <c r="BE286" s="56" t="s">
        <v>11</v>
      </c>
      <c r="BF286" s="33" t="s">
        <v>313</v>
      </c>
      <c r="BG286" s="33" t="s">
        <v>140</v>
      </c>
      <c r="BH286" s="33">
        <v>0.25</v>
      </c>
      <c r="BI286" s="33">
        <v>0.28000000000000003</v>
      </c>
      <c r="CC286" s="58"/>
      <c r="CD286" s="58"/>
    </row>
    <row r="287" spans="55:82" ht="12.75" hidden="1" x14ac:dyDescent="0.25">
      <c r="BC287" s="43" t="str">
        <f t="shared" si="4"/>
        <v>I = Wohnen MFHfenrenossj</v>
      </c>
      <c r="BD287" s="43" t="s">
        <v>270</v>
      </c>
      <c r="BE287" s="56" t="s">
        <v>12</v>
      </c>
      <c r="BF287" s="33" t="s">
        <v>313</v>
      </c>
      <c r="BG287" s="33" t="s">
        <v>140</v>
      </c>
      <c r="BH287" s="33" t="s">
        <v>145</v>
      </c>
      <c r="BI287" s="33" t="s">
        <v>146</v>
      </c>
      <c r="CC287" s="58"/>
      <c r="CD287" s="58"/>
    </row>
    <row r="288" spans="55:82" ht="12.75" hidden="1" x14ac:dyDescent="0.25">
      <c r="BC288" s="43" t="str">
        <f t="shared" si="4"/>
        <v>I = Wohnen MFHportesrenossj</v>
      </c>
      <c r="BD288" s="43" t="s">
        <v>270</v>
      </c>
      <c r="BE288" s="56" t="s">
        <v>15</v>
      </c>
      <c r="BF288" s="33" t="s">
        <v>313</v>
      </c>
      <c r="BG288" s="33" t="s">
        <v>140</v>
      </c>
      <c r="BH288" s="33">
        <v>1.2</v>
      </c>
      <c r="BI288" s="33">
        <v>1.5</v>
      </c>
      <c r="CC288" s="58"/>
      <c r="CD288" s="58"/>
    </row>
    <row r="289" spans="55:82" ht="12.75" hidden="1" x14ac:dyDescent="0.25">
      <c r="BC289" s="43" t="str">
        <f t="shared" si="4"/>
        <v>I = Wohnen MFHp343renossj</v>
      </c>
      <c r="BD289" s="43" t="s">
        <v>270</v>
      </c>
      <c r="BE289" s="56" t="s">
        <v>16</v>
      </c>
      <c r="BF289" s="33" t="s">
        <v>313</v>
      </c>
      <c r="BG289" s="33" t="s">
        <v>140</v>
      </c>
      <c r="BH289" s="33">
        <v>1.7</v>
      </c>
      <c r="BI289" s="33">
        <v>2</v>
      </c>
      <c r="CC289" s="58"/>
      <c r="CD289" s="58"/>
    </row>
    <row r="290" spans="55:82" ht="12.75" hidden="1" x14ac:dyDescent="0.25">
      <c r="BC290" s="43" t="str">
        <f t="shared" si="4"/>
        <v>I = Wohnen MFHstoresrenossj</v>
      </c>
      <c r="BD290" s="43" t="s">
        <v>270</v>
      </c>
      <c r="BE290" s="56" t="s">
        <v>19</v>
      </c>
      <c r="BF290" s="33" t="s">
        <v>313</v>
      </c>
      <c r="BG290" s="33" t="s">
        <v>140</v>
      </c>
      <c r="BH290" s="33">
        <v>0.5</v>
      </c>
      <c r="BI290" s="33">
        <v>0.5</v>
      </c>
      <c r="CC290" s="58"/>
      <c r="CD290" s="58"/>
    </row>
    <row r="291" spans="55:82" ht="12.75" hidden="1" x14ac:dyDescent="0.25">
      <c r="BC291" s="43" t="str">
        <f t="shared" si="4"/>
        <v>II = Wohnen EFHtprenossj</v>
      </c>
      <c r="BD291" s="43" t="s">
        <v>271</v>
      </c>
      <c r="BE291" s="56" t="s">
        <v>5</v>
      </c>
      <c r="BF291" s="33" t="s">
        <v>313</v>
      </c>
      <c r="BG291" s="33" t="s">
        <v>140</v>
      </c>
      <c r="BH291" s="33">
        <v>0.2</v>
      </c>
      <c r="BI291" s="33">
        <v>0.2</v>
      </c>
      <c r="CC291" s="58"/>
      <c r="CD291" s="58"/>
    </row>
    <row r="292" spans="55:82" ht="12.75" hidden="1" x14ac:dyDescent="0.25">
      <c r="BC292" s="43" t="str">
        <f t="shared" si="4"/>
        <v>II = Wohnen EFHmrenossj</v>
      </c>
      <c r="BD292" s="43" t="s">
        <v>271</v>
      </c>
      <c r="BE292" s="56" t="s">
        <v>8</v>
      </c>
      <c r="BF292" s="33" t="s">
        <v>313</v>
      </c>
      <c r="BG292" s="33" t="s">
        <v>140</v>
      </c>
      <c r="BH292" s="33">
        <v>0.25</v>
      </c>
      <c r="BI292" s="33">
        <v>0.28000000000000003</v>
      </c>
      <c r="CC292" s="58"/>
      <c r="CD292" s="58"/>
    </row>
    <row r="293" spans="55:82" ht="12.75" hidden="1" x14ac:dyDescent="0.25">
      <c r="BC293" s="43" t="str">
        <f t="shared" si="4"/>
        <v>II = Wohnen EFHsrenossj</v>
      </c>
      <c r="BD293" s="43" t="s">
        <v>271</v>
      </c>
      <c r="BE293" s="56" t="s">
        <v>11</v>
      </c>
      <c r="BF293" s="33" t="s">
        <v>313</v>
      </c>
      <c r="BG293" s="33" t="s">
        <v>140</v>
      </c>
      <c r="BH293" s="33">
        <v>0.25</v>
      </c>
      <c r="BI293" s="33">
        <v>0.28000000000000003</v>
      </c>
      <c r="CC293" s="58"/>
      <c r="CD293" s="58"/>
    </row>
    <row r="294" spans="55:82" ht="12.75" hidden="1" x14ac:dyDescent="0.25">
      <c r="BC294" s="43" t="str">
        <f t="shared" si="4"/>
        <v>II = Wohnen EFHfenrenossj</v>
      </c>
      <c r="BD294" s="43" t="s">
        <v>271</v>
      </c>
      <c r="BE294" s="56" t="s">
        <v>12</v>
      </c>
      <c r="BF294" s="33" t="s">
        <v>313</v>
      </c>
      <c r="BG294" s="33" t="s">
        <v>140</v>
      </c>
      <c r="BH294" s="33" t="s">
        <v>145</v>
      </c>
      <c r="BI294" s="33" t="s">
        <v>146</v>
      </c>
      <c r="CC294" s="58"/>
      <c r="CD294" s="58"/>
    </row>
    <row r="295" spans="55:82" ht="12.75" hidden="1" x14ac:dyDescent="0.25">
      <c r="BC295" s="43" t="str">
        <f t="shared" si="4"/>
        <v>II = Wohnen EFHportesrenossj</v>
      </c>
      <c r="BD295" s="43" t="s">
        <v>271</v>
      </c>
      <c r="BE295" s="56" t="s">
        <v>15</v>
      </c>
      <c r="BF295" s="33" t="s">
        <v>313</v>
      </c>
      <c r="BG295" s="33" t="s">
        <v>140</v>
      </c>
      <c r="BH295" s="33">
        <v>1.2</v>
      </c>
      <c r="BI295" s="33">
        <v>1.5</v>
      </c>
      <c r="CC295" s="58"/>
      <c r="CD295" s="58"/>
    </row>
    <row r="296" spans="55:82" ht="12.75" hidden="1" x14ac:dyDescent="0.25">
      <c r="BC296" s="43" t="str">
        <f t="shared" si="4"/>
        <v>II = Wohnen EFHp343renossj</v>
      </c>
      <c r="BD296" s="43" t="s">
        <v>271</v>
      </c>
      <c r="BE296" s="56" t="s">
        <v>16</v>
      </c>
      <c r="BF296" s="33" t="s">
        <v>313</v>
      </c>
      <c r="BG296" s="33" t="s">
        <v>140</v>
      </c>
      <c r="BH296" s="33">
        <v>1.7</v>
      </c>
      <c r="BI296" s="33">
        <v>2</v>
      </c>
      <c r="CC296" s="58"/>
      <c r="CD296" s="58"/>
    </row>
    <row r="297" spans="55:82" ht="12.75" hidden="1" x14ac:dyDescent="0.25">
      <c r="BC297" s="43" t="str">
        <f t="shared" si="4"/>
        <v>II = Wohnen EFHstoresrenossj</v>
      </c>
      <c r="BD297" s="43" t="s">
        <v>271</v>
      </c>
      <c r="BE297" s="56" t="s">
        <v>19</v>
      </c>
      <c r="BF297" s="33" t="s">
        <v>313</v>
      </c>
      <c r="BG297" s="33" t="s">
        <v>140</v>
      </c>
      <c r="BH297" s="33">
        <v>0.5</v>
      </c>
      <c r="BI297" s="33">
        <v>0.5</v>
      </c>
      <c r="CC297" s="58"/>
      <c r="CD297" s="58"/>
    </row>
    <row r="298" spans="55:82" ht="12.75" hidden="1" x14ac:dyDescent="0.25">
      <c r="BC298" s="43" t="str">
        <f t="shared" si="4"/>
        <v>I = Wohnen MFHtprenossk</v>
      </c>
      <c r="BD298" s="43" t="s">
        <v>270</v>
      </c>
      <c r="BE298" s="56" t="s">
        <v>5</v>
      </c>
      <c r="BF298" s="33" t="s">
        <v>313</v>
      </c>
      <c r="BG298" s="33" t="s">
        <v>141</v>
      </c>
      <c r="BH298" s="33">
        <v>0.25</v>
      </c>
      <c r="BI298" s="33">
        <v>0.28000000000000003</v>
      </c>
      <c r="CC298" s="58"/>
      <c r="CD298" s="58"/>
    </row>
    <row r="299" spans="55:82" ht="12.75" hidden="1" x14ac:dyDescent="0.25">
      <c r="BC299" s="43" t="str">
        <f t="shared" si="4"/>
        <v>I = Wohnen MFHmrenossk</v>
      </c>
      <c r="BD299" s="43" t="s">
        <v>270</v>
      </c>
      <c r="BE299" s="56" t="s">
        <v>8</v>
      </c>
      <c r="BF299" s="33" t="s">
        <v>313</v>
      </c>
      <c r="BG299" s="33" t="s">
        <v>141</v>
      </c>
      <c r="BH299" s="33">
        <v>0.25</v>
      </c>
      <c r="BI299" s="33">
        <v>0.28000000000000003</v>
      </c>
      <c r="CC299" s="58"/>
      <c r="CD299" s="58"/>
    </row>
    <row r="300" spans="55:82" ht="12.75" hidden="1" x14ac:dyDescent="0.25">
      <c r="BC300" s="43" t="str">
        <f t="shared" si="4"/>
        <v>I = Wohnen MFHsrenossk</v>
      </c>
      <c r="BD300" s="43" t="s">
        <v>270</v>
      </c>
      <c r="BE300" s="56" t="s">
        <v>11</v>
      </c>
      <c r="BF300" s="33" t="s">
        <v>313</v>
      </c>
      <c r="BG300" s="33" t="s">
        <v>141</v>
      </c>
      <c r="BH300" s="33">
        <v>0.25</v>
      </c>
      <c r="BI300" s="33">
        <v>0.28000000000000003</v>
      </c>
      <c r="CC300" s="58"/>
      <c r="CD300" s="58"/>
    </row>
    <row r="301" spans="55:82" ht="12.75" hidden="1" x14ac:dyDescent="0.25">
      <c r="BC301" s="43" t="str">
        <f t="shared" si="4"/>
        <v>I = Wohnen MFHfenrenossk</v>
      </c>
      <c r="BD301" s="43" t="s">
        <v>270</v>
      </c>
      <c r="BE301" s="56" t="s">
        <v>12</v>
      </c>
      <c r="BF301" s="33" t="s">
        <v>313</v>
      </c>
      <c r="BG301" s="33" t="s">
        <v>141</v>
      </c>
      <c r="BH301" s="33" t="s">
        <v>145</v>
      </c>
      <c r="BI301" s="33" t="s">
        <v>146</v>
      </c>
      <c r="CC301" s="58"/>
      <c r="CD301" s="58"/>
    </row>
    <row r="302" spans="55:82" ht="12.75" hidden="1" x14ac:dyDescent="0.25">
      <c r="BC302" s="43" t="str">
        <f t="shared" si="4"/>
        <v>I = Wohnen MFHportesrenossk</v>
      </c>
      <c r="BD302" s="43" t="s">
        <v>270</v>
      </c>
      <c r="BE302" s="56" t="s">
        <v>15</v>
      </c>
      <c r="BF302" s="33" t="s">
        <v>313</v>
      </c>
      <c r="BG302" s="33" t="s">
        <v>141</v>
      </c>
      <c r="BH302" s="33">
        <v>1.2</v>
      </c>
      <c r="BI302" s="33">
        <v>1.5</v>
      </c>
      <c r="CC302" s="58"/>
      <c r="CD302" s="58"/>
    </row>
    <row r="303" spans="55:82" ht="12.75" hidden="1" x14ac:dyDescent="0.25">
      <c r="BC303" s="43" t="str">
        <f t="shared" si="4"/>
        <v>I = Wohnen MFHp343renossk</v>
      </c>
      <c r="BD303" s="43" t="s">
        <v>270</v>
      </c>
      <c r="BE303" s="56" t="s">
        <v>16</v>
      </c>
      <c r="BF303" s="33" t="s">
        <v>313</v>
      </c>
      <c r="BG303" s="33" t="s">
        <v>141</v>
      </c>
      <c r="BH303" s="33">
        <v>1.7</v>
      </c>
      <c r="BI303" s="33">
        <v>2</v>
      </c>
    </row>
    <row r="304" spans="55:82" ht="12.75" hidden="1" x14ac:dyDescent="0.25">
      <c r="BC304" s="43" t="str">
        <f t="shared" si="4"/>
        <v>I = Wohnen MFHstoresrenossk</v>
      </c>
      <c r="BD304" s="43" t="s">
        <v>270</v>
      </c>
      <c r="BE304" s="56" t="s">
        <v>19</v>
      </c>
      <c r="BF304" s="33" t="s">
        <v>313</v>
      </c>
      <c r="BG304" s="33" t="s">
        <v>141</v>
      </c>
      <c r="BH304" s="33">
        <v>0.5</v>
      </c>
      <c r="BI304" s="33">
        <v>0.5</v>
      </c>
    </row>
    <row r="305" spans="55:82" ht="12.75" hidden="1" x14ac:dyDescent="0.25">
      <c r="BC305" s="43" t="str">
        <f t="shared" si="4"/>
        <v>II = Wohnen EFHtprenossk</v>
      </c>
      <c r="BD305" s="43" t="s">
        <v>271</v>
      </c>
      <c r="BE305" s="56" t="s">
        <v>5</v>
      </c>
      <c r="BF305" s="33" t="s">
        <v>313</v>
      </c>
      <c r="BG305" s="33" t="s">
        <v>141</v>
      </c>
      <c r="BH305" s="33">
        <v>0.25</v>
      </c>
      <c r="BI305" s="33">
        <v>0.28000000000000003</v>
      </c>
    </row>
    <row r="306" spans="55:82" ht="12.75" hidden="1" x14ac:dyDescent="0.25">
      <c r="BC306" s="43" t="str">
        <f t="shared" si="4"/>
        <v>II = Wohnen EFHmrenossk</v>
      </c>
      <c r="BD306" s="43" t="s">
        <v>271</v>
      </c>
      <c r="BE306" s="56" t="s">
        <v>8</v>
      </c>
      <c r="BF306" s="33" t="s">
        <v>313</v>
      </c>
      <c r="BG306" s="33" t="s">
        <v>141</v>
      </c>
      <c r="BH306" s="33">
        <v>0.25</v>
      </c>
      <c r="BI306" s="33">
        <v>0.28000000000000003</v>
      </c>
    </row>
    <row r="307" spans="55:82" ht="12.75" hidden="1" x14ac:dyDescent="0.25">
      <c r="BC307" s="43" t="str">
        <f t="shared" si="4"/>
        <v>II = Wohnen EFHsrenossk</v>
      </c>
      <c r="BD307" s="43" t="s">
        <v>271</v>
      </c>
      <c r="BE307" s="56" t="s">
        <v>11</v>
      </c>
      <c r="BF307" s="33" t="s">
        <v>313</v>
      </c>
      <c r="BG307" s="33" t="s">
        <v>141</v>
      </c>
      <c r="BH307" s="33">
        <v>0.25</v>
      </c>
      <c r="BI307" s="33">
        <v>0.28000000000000003</v>
      </c>
    </row>
    <row r="308" spans="55:82" ht="12.75" hidden="1" x14ac:dyDescent="0.25">
      <c r="BC308" s="43" t="str">
        <f t="shared" si="4"/>
        <v>II = Wohnen EFHfenrenossk</v>
      </c>
      <c r="BD308" s="43" t="s">
        <v>271</v>
      </c>
      <c r="BE308" s="56" t="s">
        <v>12</v>
      </c>
      <c r="BF308" s="33" t="s">
        <v>313</v>
      </c>
      <c r="BG308" s="33" t="s">
        <v>141</v>
      </c>
      <c r="BH308" s="33" t="s">
        <v>145</v>
      </c>
      <c r="BI308" s="33" t="s">
        <v>146</v>
      </c>
    </row>
    <row r="309" spans="55:82" ht="12.75" hidden="1" x14ac:dyDescent="0.25">
      <c r="BC309" s="43" t="str">
        <f t="shared" si="4"/>
        <v>II = Wohnen EFHportesrenossk</v>
      </c>
      <c r="BD309" s="43" t="s">
        <v>271</v>
      </c>
      <c r="BE309" s="56" t="s">
        <v>15</v>
      </c>
      <c r="BF309" s="33" t="s">
        <v>313</v>
      </c>
      <c r="BG309" s="33" t="s">
        <v>141</v>
      </c>
      <c r="BH309" s="33">
        <v>1.2</v>
      </c>
      <c r="BI309" s="33">
        <v>1.5</v>
      </c>
    </row>
    <row r="310" spans="55:82" ht="12.75" hidden="1" x14ac:dyDescent="0.25">
      <c r="BC310" s="43" t="str">
        <f t="shared" si="4"/>
        <v>II = Wohnen EFHp343renossk</v>
      </c>
      <c r="BD310" s="43" t="s">
        <v>271</v>
      </c>
      <c r="BE310" s="56" t="s">
        <v>16</v>
      </c>
      <c r="BF310" s="33" t="s">
        <v>313</v>
      </c>
      <c r="BG310" s="33" t="s">
        <v>141</v>
      </c>
      <c r="BH310" s="33">
        <v>1.7</v>
      </c>
      <c r="BI310" s="33">
        <v>2</v>
      </c>
    </row>
    <row r="311" spans="55:82" ht="12.75" hidden="1" x14ac:dyDescent="0.25">
      <c r="BC311" s="43" t="str">
        <f t="shared" si="4"/>
        <v>II = Wohnen EFHstoresrenossk</v>
      </c>
      <c r="BD311" s="43" t="s">
        <v>271</v>
      </c>
      <c r="BE311" s="56" t="s">
        <v>19</v>
      </c>
      <c r="BF311" s="33" t="s">
        <v>313</v>
      </c>
      <c r="BG311" s="33" t="s">
        <v>141</v>
      </c>
      <c r="BH311" s="33">
        <v>0.5</v>
      </c>
      <c r="BI311" s="33">
        <v>0.5</v>
      </c>
      <c r="CC311" s="58"/>
      <c r="CD311" s="58"/>
    </row>
    <row r="312" spans="55:82" ht="12.75" hidden="1" x14ac:dyDescent="0.25">
      <c r="BC312" s="43"/>
      <c r="CC312" s="58"/>
      <c r="CD312" s="58"/>
    </row>
    <row r="313" spans="55:82" ht="12.75" hidden="1" x14ac:dyDescent="0.25">
      <c r="BC313" s="43" t="str">
        <f t="shared" si="4"/>
        <v/>
      </c>
      <c r="CC313" s="58"/>
      <c r="CD313" s="58"/>
    </row>
    <row r="314" spans="55:82" ht="12.75" hidden="1" x14ac:dyDescent="0.25">
      <c r="BC314" s="43" t="str">
        <f t="shared" si="4"/>
        <v/>
      </c>
      <c r="CC314" s="58"/>
      <c r="CD314" s="58"/>
    </row>
    <row r="315" spans="55:82" ht="12.75" hidden="1" x14ac:dyDescent="0.25">
      <c r="BC315" s="43" t="str">
        <f t="shared" si="4"/>
        <v/>
      </c>
      <c r="CC315" s="58"/>
      <c r="CD315" s="58"/>
    </row>
    <row r="316" spans="55:82" ht="12.75" hidden="1" x14ac:dyDescent="0.25">
      <c r="BC316" s="43" t="str">
        <f t="shared" si="4"/>
        <v/>
      </c>
      <c r="CC316" s="58"/>
      <c r="CD316" s="58"/>
    </row>
    <row r="317" spans="55:82" ht="12.75" hidden="1" x14ac:dyDescent="0.25">
      <c r="BC317" s="43" t="str">
        <f t="shared" si="4"/>
        <v/>
      </c>
      <c r="CC317" s="58"/>
      <c r="CD317" s="58"/>
    </row>
    <row r="318" spans="55:82" ht="12.75" hidden="1" x14ac:dyDescent="0.25">
      <c r="BC318" s="43" t="str">
        <f t="shared" si="4"/>
        <v/>
      </c>
      <c r="CC318" s="58"/>
      <c r="CD318" s="58"/>
    </row>
    <row r="319" spans="55:82" ht="12.75" hidden="1" x14ac:dyDescent="0.25">
      <c r="BC319" s="43" t="str">
        <f t="shared" si="4"/>
        <v/>
      </c>
      <c r="CC319" s="58"/>
      <c r="CD319" s="58"/>
    </row>
    <row r="320" spans="55:82" ht="12.75" hidden="1" x14ac:dyDescent="0.25">
      <c r="BC320" s="43" t="str">
        <f t="shared" si="4"/>
        <v/>
      </c>
      <c r="CC320" s="58"/>
      <c r="CD320" s="58"/>
    </row>
    <row r="321" spans="55:82" ht="12.75" hidden="1" x14ac:dyDescent="0.25">
      <c r="BC321" s="43" t="str">
        <f t="shared" si="4"/>
        <v/>
      </c>
    </row>
    <row r="322" spans="55:82" ht="12.75" hidden="1" x14ac:dyDescent="0.25">
      <c r="BC322" s="43" t="str">
        <f t="shared" si="4"/>
        <v/>
      </c>
    </row>
    <row r="323" spans="55:82" ht="12.75" hidden="1" x14ac:dyDescent="0.25">
      <c r="BC323" s="43" t="str">
        <f t="shared" si="4"/>
        <v/>
      </c>
      <c r="CC323" s="58"/>
      <c r="CD323" s="58"/>
    </row>
    <row r="324" spans="55:82" ht="12.75" hidden="1" x14ac:dyDescent="0.25">
      <c r="BC324" s="43" t="str">
        <f t="shared" si="4"/>
        <v/>
      </c>
      <c r="CC324" s="58"/>
      <c r="CD324" s="58"/>
    </row>
    <row r="325" spans="55:82" ht="12.75" hidden="1" x14ac:dyDescent="0.25">
      <c r="BC325" s="43" t="str">
        <f t="shared" si="4"/>
        <v/>
      </c>
      <c r="CC325" s="58"/>
      <c r="CD325" s="58"/>
    </row>
    <row r="326" spans="55:82" ht="12.75" hidden="1" x14ac:dyDescent="0.25">
      <c r="BC326" s="43" t="str">
        <f t="shared" si="4"/>
        <v/>
      </c>
    </row>
    <row r="327" spans="55:82" ht="12.75" hidden="1" x14ac:dyDescent="0.25">
      <c r="BC327" s="43" t="str">
        <f t="shared" si="4"/>
        <v/>
      </c>
    </row>
    <row r="328" spans="55:82" ht="12.75" hidden="1" x14ac:dyDescent="0.25">
      <c r="BC328" s="43" t="str">
        <f t="shared" si="4"/>
        <v/>
      </c>
    </row>
    <row r="329" spans="55:82" ht="12.75" hidden="1" x14ac:dyDescent="0.25">
      <c r="BC329" s="43" t="str">
        <f t="shared" ref="BC329:BC392" si="5">BD329&amp;BE329&amp;BF329&amp;BG329</f>
        <v/>
      </c>
    </row>
    <row r="330" spans="55:82" ht="12.75" hidden="1" x14ac:dyDescent="0.25">
      <c r="BC330" s="43" t="str">
        <f t="shared" si="5"/>
        <v/>
      </c>
    </row>
    <row r="331" spans="55:82" ht="12.75" hidden="1" x14ac:dyDescent="0.25">
      <c r="BC331" s="43" t="str">
        <f t="shared" si="5"/>
        <v/>
      </c>
    </row>
    <row r="332" spans="55:82" ht="12.75" hidden="1" x14ac:dyDescent="0.25">
      <c r="BC332" s="43" t="str">
        <f t="shared" si="5"/>
        <v/>
      </c>
      <c r="CC332" s="58"/>
      <c r="CD332" s="58"/>
    </row>
    <row r="333" spans="55:82" ht="12.75" hidden="1" x14ac:dyDescent="0.25">
      <c r="BC333" s="43" t="str">
        <f t="shared" si="5"/>
        <v/>
      </c>
      <c r="CC333" s="58"/>
      <c r="CD333" s="58"/>
    </row>
    <row r="334" spans="55:82" ht="12.75" hidden="1" x14ac:dyDescent="0.25">
      <c r="BC334" s="43" t="str">
        <f t="shared" si="5"/>
        <v/>
      </c>
      <c r="CC334" s="58"/>
      <c r="CD334" s="58"/>
    </row>
    <row r="335" spans="55:82" ht="12.75" hidden="1" x14ac:dyDescent="0.25">
      <c r="BC335" s="43" t="str">
        <f t="shared" si="5"/>
        <v/>
      </c>
      <c r="CC335" s="58"/>
      <c r="CD335" s="58"/>
    </row>
    <row r="336" spans="55:82" ht="12.75" hidden="1" x14ac:dyDescent="0.25">
      <c r="BC336" s="43" t="str">
        <f t="shared" si="5"/>
        <v/>
      </c>
    </row>
    <row r="337" spans="55:55" ht="12.75" hidden="1" x14ac:dyDescent="0.25">
      <c r="BC337" s="43" t="str">
        <f t="shared" si="5"/>
        <v/>
      </c>
    </row>
    <row r="338" spans="55:55" ht="12.75" hidden="1" x14ac:dyDescent="0.25">
      <c r="BC338" s="43" t="str">
        <f t="shared" si="5"/>
        <v/>
      </c>
    </row>
    <row r="339" spans="55:55" ht="12.75" hidden="1" x14ac:dyDescent="0.25">
      <c r="BC339" s="43" t="str">
        <f t="shared" si="5"/>
        <v/>
      </c>
    </row>
    <row r="340" spans="55:55" ht="12.75" hidden="1" x14ac:dyDescent="0.25">
      <c r="BC340" s="43" t="str">
        <f t="shared" si="5"/>
        <v/>
      </c>
    </row>
    <row r="341" spans="55:55" ht="12.75" hidden="1" x14ac:dyDescent="0.25">
      <c r="BC341" s="43" t="str">
        <f t="shared" si="5"/>
        <v/>
      </c>
    </row>
    <row r="342" spans="55:55" ht="12.75" hidden="1" x14ac:dyDescent="0.25">
      <c r="BC342" s="43" t="str">
        <f t="shared" si="5"/>
        <v/>
      </c>
    </row>
    <row r="343" spans="55:55" ht="12.75" hidden="1" x14ac:dyDescent="0.25">
      <c r="BC343" s="43" t="str">
        <f t="shared" si="5"/>
        <v/>
      </c>
    </row>
    <row r="344" spans="55:55" ht="12.75" hidden="1" x14ac:dyDescent="0.25">
      <c r="BC344" s="43" t="str">
        <f t="shared" si="5"/>
        <v/>
      </c>
    </row>
    <row r="345" spans="55:55" ht="12.75" hidden="1" x14ac:dyDescent="0.25">
      <c r="BC345" s="43" t="str">
        <f t="shared" si="5"/>
        <v/>
      </c>
    </row>
    <row r="346" spans="55:55" ht="12.75" hidden="1" x14ac:dyDescent="0.25">
      <c r="BC346" s="43" t="str">
        <f t="shared" si="5"/>
        <v/>
      </c>
    </row>
    <row r="347" spans="55:55" ht="12.75" hidden="1" x14ac:dyDescent="0.25">
      <c r="BC347" s="43" t="str">
        <f t="shared" si="5"/>
        <v/>
      </c>
    </row>
    <row r="348" spans="55:55" ht="12.75" hidden="1" x14ac:dyDescent="0.25">
      <c r="BC348" s="43" t="str">
        <f t="shared" si="5"/>
        <v/>
      </c>
    </row>
    <row r="349" spans="55:55" ht="12.75" hidden="1" x14ac:dyDescent="0.25">
      <c r="BC349" s="43" t="str">
        <f t="shared" si="5"/>
        <v/>
      </c>
    </row>
    <row r="350" spans="55:55" ht="12.75" hidden="1" x14ac:dyDescent="0.25">
      <c r="BC350" s="43" t="str">
        <f t="shared" si="5"/>
        <v/>
      </c>
    </row>
    <row r="351" spans="55:55" ht="12.75" hidden="1" x14ac:dyDescent="0.25">
      <c r="BC351" s="43" t="str">
        <f t="shared" si="5"/>
        <v/>
      </c>
    </row>
    <row r="352" spans="55:55" ht="12.75" hidden="1" x14ac:dyDescent="0.25">
      <c r="BC352" s="43" t="str">
        <f t="shared" si="5"/>
        <v/>
      </c>
    </row>
    <row r="353" spans="55:55" ht="12.75" hidden="1" x14ac:dyDescent="0.25">
      <c r="BC353" s="43" t="str">
        <f t="shared" si="5"/>
        <v/>
      </c>
    </row>
    <row r="354" spans="55:55" ht="12.75" hidden="1" x14ac:dyDescent="0.25">
      <c r="BC354" s="43" t="str">
        <f t="shared" si="5"/>
        <v/>
      </c>
    </row>
    <row r="355" spans="55:55" ht="12.75" hidden="1" x14ac:dyDescent="0.25">
      <c r="BC355" s="43" t="str">
        <f t="shared" si="5"/>
        <v/>
      </c>
    </row>
    <row r="356" spans="55:55" ht="12.75" hidden="1" x14ac:dyDescent="0.25">
      <c r="BC356" s="43" t="str">
        <f t="shared" si="5"/>
        <v/>
      </c>
    </row>
    <row r="357" spans="55:55" ht="12.75" hidden="1" x14ac:dyDescent="0.25">
      <c r="BC357" s="43" t="str">
        <f t="shared" si="5"/>
        <v/>
      </c>
    </row>
    <row r="358" spans="55:55" ht="12.75" hidden="1" x14ac:dyDescent="0.25">
      <c r="BC358" s="43" t="str">
        <f t="shared" si="5"/>
        <v/>
      </c>
    </row>
    <row r="359" spans="55:55" ht="12.75" hidden="1" x14ac:dyDescent="0.25">
      <c r="BC359" s="43" t="str">
        <f t="shared" si="5"/>
        <v/>
      </c>
    </row>
    <row r="360" spans="55:55" ht="12.75" hidden="1" x14ac:dyDescent="0.25">
      <c r="BC360" s="43" t="str">
        <f t="shared" si="5"/>
        <v/>
      </c>
    </row>
    <row r="361" spans="55:55" ht="12.75" hidden="1" x14ac:dyDescent="0.25">
      <c r="BC361" s="43" t="str">
        <f t="shared" si="5"/>
        <v/>
      </c>
    </row>
    <row r="362" spans="55:55" ht="12.75" hidden="1" x14ac:dyDescent="0.25">
      <c r="BC362" s="43" t="str">
        <f t="shared" si="5"/>
        <v/>
      </c>
    </row>
    <row r="363" spans="55:55" ht="12.75" hidden="1" x14ac:dyDescent="0.25">
      <c r="BC363" s="43" t="str">
        <f t="shared" si="5"/>
        <v/>
      </c>
    </row>
    <row r="364" spans="55:55" ht="12.75" hidden="1" x14ac:dyDescent="0.25">
      <c r="BC364" s="43" t="str">
        <f t="shared" si="5"/>
        <v/>
      </c>
    </row>
    <row r="365" spans="55:55" ht="12.75" hidden="1" x14ac:dyDescent="0.25">
      <c r="BC365" s="43" t="str">
        <f t="shared" si="5"/>
        <v/>
      </c>
    </row>
    <row r="366" spans="55:55" ht="12.75" hidden="1" x14ac:dyDescent="0.25">
      <c r="BC366" s="43" t="str">
        <f t="shared" si="5"/>
        <v/>
      </c>
    </row>
    <row r="367" spans="55:55" ht="12.75" hidden="1" x14ac:dyDescent="0.25">
      <c r="BC367" s="43" t="str">
        <f t="shared" si="5"/>
        <v/>
      </c>
    </row>
    <row r="368" spans="55:55" ht="12.75" hidden="1" x14ac:dyDescent="0.25">
      <c r="BC368" s="43" t="str">
        <f t="shared" si="5"/>
        <v/>
      </c>
    </row>
    <row r="369" spans="55:55" ht="12.75" hidden="1" x14ac:dyDescent="0.25">
      <c r="BC369" s="43" t="str">
        <f t="shared" si="5"/>
        <v/>
      </c>
    </row>
    <row r="370" spans="55:55" ht="12.75" hidden="1" x14ac:dyDescent="0.25">
      <c r="BC370" s="43" t="str">
        <f t="shared" si="5"/>
        <v/>
      </c>
    </row>
    <row r="371" spans="55:55" ht="12.75" hidden="1" x14ac:dyDescent="0.25">
      <c r="BC371" s="43" t="str">
        <f t="shared" si="5"/>
        <v/>
      </c>
    </row>
    <row r="372" spans="55:55" ht="12.75" hidden="1" x14ac:dyDescent="0.25">
      <c r="BC372" s="43" t="str">
        <f t="shared" si="5"/>
        <v/>
      </c>
    </row>
    <row r="373" spans="55:55" ht="12.75" hidden="1" x14ac:dyDescent="0.25">
      <c r="BC373" s="43" t="str">
        <f t="shared" si="5"/>
        <v/>
      </c>
    </row>
    <row r="374" spans="55:55" ht="12.75" hidden="1" x14ac:dyDescent="0.25">
      <c r="BC374" s="43" t="str">
        <f t="shared" si="5"/>
        <v/>
      </c>
    </row>
    <row r="375" spans="55:55" ht="12.75" hidden="1" x14ac:dyDescent="0.25">
      <c r="BC375" s="43" t="str">
        <f t="shared" si="5"/>
        <v/>
      </c>
    </row>
    <row r="376" spans="55:55" ht="12.75" hidden="1" x14ac:dyDescent="0.25">
      <c r="BC376" s="43" t="str">
        <f t="shared" si="5"/>
        <v/>
      </c>
    </row>
    <row r="377" spans="55:55" ht="12.75" hidden="1" x14ac:dyDescent="0.25">
      <c r="BC377" s="43" t="str">
        <f t="shared" si="5"/>
        <v/>
      </c>
    </row>
    <row r="378" spans="55:55" ht="12.75" hidden="1" x14ac:dyDescent="0.25">
      <c r="BC378" s="43" t="str">
        <f t="shared" si="5"/>
        <v/>
      </c>
    </row>
    <row r="379" spans="55:55" ht="12.75" hidden="1" x14ac:dyDescent="0.25">
      <c r="BC379" s="43" t="str">
        <f t="shared" si="5"/>
        <v/>
      </c>
    </row>
    <row r="380" spans="55:55" ht="12.75" hidden="1" x14ac:dyDescent="0.25">
      <c r="BC380" s="43" t="str">
        <f t="shared" si="5"/>
        <v/>
      </c>
    </row>
    <row r="381" spans="55:55" ht="12.75" hidden="1" x14ac:dyDescent="0.25">
      <c r="BC381" s="43" t="str">
        <f t="shared" si="5"/>
        <v/>
      </c>
    </row>
    <row r="382" spans="55:55" ht="12.75" hidden="1" x14ac:dyDescent="0.25">
      <c r="BC382" s="43" t="str">
        <f t="shared" si="5"/>
        <v/>
      </c>
    </row>
    <row r="383" spans="55:55" ht="12.75" hidden="1" x14ac:dyDescent="0.25">
      <c r="BC383" s="43" t="str">
        <f t="shared" si="5"/>
        <v/>
      </c>
    </row>
    <row r="384" spans="55:55" ht="12.75" hidden="1" x14ac:dyDescent="0.25">
      <c r="BC384" s="43" t="str">
        <f t="shared" si="5"/>
        <v/>
      </c>
    </row>
    <row r="385" spans="55:55" ht="12.75" hidden="1" x14ac:dyDescent="0.25">
      <c r="BC385" s="43" t="str">
        <f t="shared" si="5"/>
        <v/>
      </c>
    </row>
    <row r="386" spans="55:55" ht="12.75" hidden="1" x14ac:dyDescent="0.25">
      <c r="BC386" s="43" t="str">
        <f t="shared" si="5"/>
        <v/>
      </c>
    </row>
    <row r="387" spans="55:55" ht="12.75" hidden="1" x14ac:dyDescent="0.25">
      <c r="BC387" s="43" t="str">
        <f t="shared" si="5"/>
        <v/>
      </c>
    </row>
    <row r="388" spans="55:55" ht="12.75" hidden="1" x14ac:dyDescent="0.25">
      <c r="BC388" s="43" t="str">
        <f t="shared" si="5"/>
        <v/>
      </c>
    </row>
    <row r="389" spans="55:55" ht="12.75" hidden="1" x14ac:dyDescent="0.25">
      <c r="BC389" s="43" t="str">
        <f t="shared" si="5"/>
        <v/>
      </c>
    </row>
    <row r="390" spans="55:55" ht="12.75" hidden="1" x14ac:dyDescent="0.25">
      <c r="BC390" s="43" t="str">
        <f t="shared" si="5"/>
        <v/>
      </c>
    </row>
    <row r="391" spans="55:55" ht="12.75" hidden="1" x14ac:dyDescent="0.25">
      <c r="BC391" s="43" t="str">
        <f t="shared" si="5"/>
        <v/>
      </c>
    </row>
    <row r="392" spans="55:55" ht="12.75" hidden="1" x14ac:dyDescent="0.25">
      <c r="BC392" s="43" t="str">
        <f t="shared" si="5"/>
        <v/>
      </c>
    </row>
    <row r="393" spans="55:55" ht="12.75" hidden="1" x14ac:dyDescent="0.25">
      <c r="BC393" s="43" t="str">
        <f t="shared" ref="BC393:BC402" si="6">BD393&amp;BE393&amp;BF393&amp;BG393</f>
        <v/>
      </c>
    </row>
    <row r="394" spans="55:55" ht="12.75" hidden="1" x14ac:dyDescent="0.25">
      <c r="BC394" s="43" t="str">
        <f t="shared" si="6"/>
        <v/>
      </c>
    </row>
    <row r="395" spans="55:55" ht="12.75" hidden="1" x14ac:dyDescent="0.25">
      <c r="BC395" s="43" t="str">
        <f t="shared" si="6"/>
        <v/>
      </c>
    </row>
    <row r="396" spans="55:55" ht="12.75" hidden="1" x14ac:dyDescent="0.25">
      <c r="BC396" s="43" t="str">
        <f t="shared" si="6"/>
        <v/>
      </c>
    </row>
    <row r="397" spans="55:55" ht="12.75" hidden="1" x14ac:dyDescent="0.25">
      <c r="BC397" s="43" t="str">
        <f t="shared" si="6"/>
        <v/>
      </c>
    </row>
    <row r="398" spans="55:55" ht="12.75" hidden="1" x14ac:dyDescent="0.25">
      <c r="BC398" s="43" t="str">
        <f t="shared" si="6"/>
        <v/>
      </c>
    </row>
    <row r="399" spans="55:55" ht="13.15" hidden="1" customHeight="1" x14ac:dyDescent="0.25">
      <c r="BC399" s="43" t="str">
        <f t="shared" si="6"/>
        <v/>
      </c>
    </row>
    <row r="400" spans="55:55" ht="13.15" hidden="1" customHeight="1" x14ac:dyDescent="0.25">
      <c r="BC400" s="43" t="str">
        <f t="shared" si="6"/>
        <v/>
      </c>
    </row>
    <row r="401" spans="55:57" ht="13.15" hidden="1" customHeight="1" x14ac:dyDescent="0.25">
      <c r="BC401" s="43" t="str">
        <f t="shared" si="6"/>
        <v/>
      </c>
    </row>
    <row r="402" spans="55:57" ht="13.15" hidden="1" customHeight="1" x14ac:dyDescent="0.25">
      <c r="BC402" s="43" t="str">
        <f t="shared" si="6"/>
        <v/>
      </c>
    </row>
    <row r="403" spans="55:57" ht="13.15" hidden="1" customHeight="1" x14ac:dyDescent="0.25">
      <c r="BC403" s="43"/>
    </row>
    <row r="404" spans="55:57" ht="13.15" hidden="1" customHeight="1" x14ac:dyDescent="0.25">
      <c r="BC404" s="43"/>
    </row>
    <row r="405" spans="55:57" ht="13.15" hidden="1" customHeight="1" x14ac:dyDescent="0.25">
      <c r="BC405" s="43"/>
      <c r="BD405" s="43"/>
      <c r="BE405" s="56"/>
    </row>
    <row r="406" spans="55:57" ht="13.15" hidden="1" customHeight="1" x14ac:dyDescent="0.25">
      <c r="BC406" s="43"/>
      <c r="BD406" s="43"/>
      <c r="BE406" s="56"/>
    </row>
    <row r="407" spans="55:57" ht="13.15" hidden="1" customHeight="1" x14ac:dyDescent="0.25">
      <c r="BC407" s="43"/>
      <c r="BD407" s="43"/>
      <c r="BE407" s="56"/>
    </row>
    <row r="408" spans="55:57" ht="13.15" hidden="1" customHeight="1" x14ac:dyDescent="0.25">
      <c r="BC408" s="43"/>
      <c r="BD408" s="43"/>
      <c r="BE408" s="56"/>
    </row>
    <row r="409" spans="55:57" ht="13.15" hidden="1" customHeight="1" x14ac:dyDescent="0.25">
      <c r="BC409" s="43"/>
      <c r="BD409" s="43"/>
      <c r="BE409" s="56"/>
    </row>
    <row r="410" spans="55:57" ht="13.15" hidden="1" customHeight="1" x14ac:dyDescent="0.25">
      <c r="BC410" s="43"/>
      <c r="BD410" s="43"/>
      <c r="BE410" s="56"/>
    </row>
    <row r="411" spans="55:57" ht="13.15" hidden="1" customHeight="1" x14ac:dyDescent="0.25">
      <c r="BC411" s="43"/>
      <c r="BD411" s="43"/>
      <c r="BE411" s="56"/>
    </row>
  </sheetData>
  <sheetProtection algorithmName="SHA-512" hashValue="uoFvML9HdEwTsf2d7Moj1oQJhBdn0YGxj/DWOo/wv21NyN7mGo3b8U/T7AUU+xo567h0xD19sL4XHZDkjbeQEg==" saltValue="dz/P25xyzt+sXmDIzSWf2g==" spinCount="100000" sheet="1" objects="1" scenarios="1" formatCells="0" selectLockedCells="1"/>
  <mergeCells count="188">
    <mergeCell ref="H127:V128"/>
    <mergeCell ref="W127:AK128"/>
    <mergeCell ref="O48:AK48"/>
    <mergeCell ref="O47:AK47"/>
    <mergeCell ref="B87:AK88"/>
    <mergeCell ref="B123:G124"/>
    <mergeCell ref="B125:G125"/>
    <mergeCell ref="B126:G126"/>
    <mergeCell ref="B127:G128"/>
    <mergeCell ref="H125:V125"/>
    <mergeCell ref="W125:AK125"/>
    <mergeCell ref="H126:V126"/>
    <mergeCell ref="W126:AK126"/>
    <mergeCell ref="B121:G121"/>
    <mergeCell ref="H121:V122"/>
    <mergeCell ref="W121:AK122"/>
    <mergeCell ref="H123:V124"/>
    <mergeCell ref="W123:AK124"/>
    <mergeCell ref="C95:AK96"/>
    <mergeCell ref="B98:AK98"/>
    <mergeCell ref="B99:AK109"/>
    <mergeCell ref="V113:AK113"/>
    <mergeCell ref="V114:AK114"/>
    <mergeCell ref="B81:AK83"/>
    <mergeCell ref="B86:AK86"/>
    <mergeCell ref="B89:AK89"/>
    <mergeCell ref="B90:AK90"/>
    <mergeCell ref="C92:AK92"/>
    <mergeCell ref="AF66:AJ66"/>
    <mergeCell ref="B68:F71"/>
    <mergeCell ref="G68:O71"/>
    <mergeCell ref="P68:X71"/>
    <mergeCell ref="Y68:AK71"/>
    <mergeCell ref="B77:P78"/>
    <mergeCell ref="AC65:AE65"/>
    <mergeCell ref="AF65:AJ65"/>
    <mergeCell ref="B66:K66"/>
    <mergeCell ref="L66:M66"/>
    <mergeCell ref="N66:P66"/>
    <mergeCell ref="Q66:S66"/>
    <mergeCell ref="T66:W66"/>
    <mergeCell ref="X66:Y66"/>
    <mergeCell ref="Z66:AB66"/>
    <mergeCell ref="AC66:AE66"/>
    <mergeCell ref="B65:K65"/>
    <mergeCell ref="L65:M65"/>
    <mergeCell ref="N65:P65"/>
    <mergeCell ref="Q65:S65"/>
    <mergeCell ref="T65:W65"/>
    <mergeCell ref="X65:Y65"/>
    <mergeCell ref="Z65:AB65"/>
    <mergeCell ref="B64:K64"/>
    <mergeCell ref="L64:M64"/>
    <mergeCell ref="N64:P64"/>
    <mergeCell ref="Q64:S64"/>
    <mergeCell ref="T64:W64"/>
    <mergeCell ref="X64:Y64"/>
    <mergeCell ref="AF62:AJ62"/>
    <mergeCell ref="N63:P63"/>
    <mergeCell ref="Q63:S63"/>
    <mergeCell ref="T63:W63"/>
    <mergeCell ref="Z63:AB63"/>
    <mergeCell ref="AC63:AE63"/>
    <mergeCell ref="AF63:AJ63"/>
    <mergeCell ref="Z64:AB64"/>
    <mergeCell ref="AC64:AE64"/>
    <mergeCell ref="AF64:AJ64"/>
    <mergeCell ref="B62:K63"/>
    <mergeCell ref="L62:M63"/>
    <mergeCell ref="N62:P62"/>
    <mergeCell ref="Q62:S62"/>
    <mergeCell ref="T62:W62"/>
    <mergeCell ref="X62:Y63"/>
    <mergeCell ref="Z62:AB62"/>
    <mergeCell ref="AC62:AE62"/>
    <mergeCell ref="AF60:AJ60"/>
    <mergeCell ref="B61:K61"/>
    <mergeCell ref="L61:M61"/>
    <mergeCell ref="N61:P61"/>
    <mergeCell ref="Q61:S61"/>
    <mergeCell ref="T61:W61"/>
    <mergeCell ref="X61:Y61"/>
    <mergeCell ref="Z61:AB61"/>
    <mergeCell ref="AC61:AE61"/>
    <mergeCell ref="AF61:AJ61"/>
    <mergeCell ref="B60:K60"/>
    <mergeCell ref="L60:M60"/>
    <mergeCell ref="N60:P60"/>
    <mergeCell ref="Q60:S60"/>
    <mergeCell ref="T60:W60"/>
    <mergeCell ref="X60:Y60"/>
    <mergeCell ref="Z60:AB60"/>
    <mergeCell ref="AC60:AE60"/>
    <mergeCell ref="Z58:AB58"/>
    <mergeCell ref="AC58:AE58"/>
    <mergeCell ref="AF58:AJ58"/>
    <mergeCell ref="B59:K59"/>
    <mergeCell ref="L59:M59"/>
    <mergeCell ref="N59:P59"/>
    <mergeCell ref="Q59:S59"/>
    <mergeCell ref="T59:W59"/>
    <mergeCell ref="X59:Y59"/>
    <mergeCell ref="Z59:AB59"/>
    <mergeCell ref="B58:K58"/>
    <mergeCell ref="L58:M58"/>
    <mergeCell ref="N58:P58"/>
    <mergeCell ref="Q58:S58"/>
    <mergeCell ref="T58:W58"/>
    <mergeCell ref="X58:Y58"/>
    <mergeCell ref="AC59:AE59"/>
    <mergeCell ref="AF59:AJ59"/>
    <mergeCell ref="B57:K57"/>
    <mergeCell ref="L57:M57"/>
    <mergeCell ref="N57:P57"/>
    <mergeCell ref="Q57:S57"/>
    <mergeCell ref="T57:W57"/>
    <mergeCell ref="X57:Y57"/>
    <mergeCell ref="Z57:AB57"/>
    <mergeCell ref="AC57:AE57"/>
    <mergeCell ref="AF57:AJ57"/>
    <mergeCell ref="B56:K56"/>
    <mergeCell ref="L56:M56"/>
    <mergeCell ref="N56:P56"/>
    <mergeCell ref="Q56:S56"/>
    <mergeCell ref="T56:W56"/>
    <mergeCell ref="X56:Y56"/>
    <mergeCell ref="Z56:AB56"/>
    <mergeCell ref="AC56:AE56"/>
    <mergeCell ref="AF56:AJ56"/>
    <mergeCell ref="Z54:AB54"/>
    <mergeCell ref="AC54:AE54"/>
    <mergeCell ref="AF54:AJ54"/>
    <mergeCell ref="B55:K55"/>
    <mergeCell ref="L55:M55"/>
    <mergeCell ref="N55:P55"/>
    <mergeCell ref="Q55:S55"/>
    <mergeCell ref="T55:W55"/>
    <mergeCell ref="X55:Y55"/>
    <mergeCell ref="Z55:AB55"/>
    <mergeCell ref="B54:K54"/>
    <mergeCell ref="L54:M54"/>
    <mergeCell ref="N54:P54"/>
    <mergeCell ref="Q54:S54"/>
    <mergeCell ref="T54:W54"/>
    <mergeCell ref="X54:Y54"/>
    <mergeCell ref="AC55:AE55"/>
    <mergeCell ref="AF55:AJ55"/>
    <mergeCell ref="AF52:AJ52"/>
    <mergeCell ref="N53:P53"/>
    <mergeCell ref="Q53:S53"/>
    <mergeCell ref="T53:W53"/>
    <mergeCell ref="Z53:AB53"/>
    <mergeCell ref="AC53:AE53"/>
    <mergeCell ref="AF53:AJ53"/>
    <mergeCell ref="B52:K53"/>
    <mergeCell ref="L52:M53"/>
    <mergeCell ref="T52:W52"/>
    <mergeCell ref="X52:Y53"/>
    <mergeCell ref="Z52:AB52"/>
    <mergeCell ref="AC52:AE52"/>
    <mergeCell ref="Y40:AK40"/>
    <mergeCell ref="Y44:AK44"/>
    <mergeCell ref="B46:M46"/>
    <mergeCell ref="B50:K50"/>
    <mergeCell ref="L50:W51"/>
    <mergeCell ref="X50:AJ51"/>
    <mergeCell ref="B51:K51"/>
    <mergeCell ref="T21:AK21"/>
    <mergeCell ref="B23:K23"/>
    <mergeCell ref="U25:V25"/>
    <mergeCell ref="B30:J30"/>
    <mergeCell ref="L35:AK35"/>
    <mergeCell ref="B37:K37"/>
    <mergeCell ref="F9:AK9"/>
    <mergeCell ref="E19:G19"/>
    <mergeCell ref="O19:Q19"/>
    <mergeCell ref="R19:S19"/>
    <mergeCell ref="V19:W19"/>
    <mergeCell ref="B2:F5"/>
    <mergeCell ref="G2:O5"/>
    <mergeCell ref="P2:X5"/>
    <mergeCell ref="Y2:AK5"/>
    <mergeCell ref="B7:E7"/>
    <mergeCell ref="F7:P7"/>
    <mergeCell ref="Q7:T7"/>
    <mergeCell ref="U7:Z7"/>
    <mergeCell ref="AB7:AE7"/>
    <mergeCell ref="AF7:AK7"/>
  </mergeCells>
  <conditionalFormatting sqref="B23:AK29">
    <cfRule type="expression" dxfId="8" priority="1">
      <formula>OR($AQ$12=1,$AR$12=1)</formula>
    </cfRule>
  </conditionalFormatting>
  <conditionalFormatting sqref="C115">
    <cfRule type="expression" dxfId="7" priority="7">
      <formula>$AN$12&lt;&gt;1</formula>
    </cfRule>
  </conditionalFormatting>
  <conditionalFormatting sqref="C116">
    <cfRule type="expression" dxfId="6" priority="19">
      <formula>OR($AN$74&lt;&gt;2,$AN$75&lt;&gt;2)</formula>
    </cfRule>
  </conditionalFormatting>
  <conditionalFormatting sqref="C117">
    <cfRule type="expression" dxfId="5" priority="2">
      <formula>$AN$28&lt;&gt;1</formula>
    </cfRule>
  </conditionalFormatting>
  <conditionalFormatting sqref="C118">
    <cfRule type="expression" dxfId="4" priority="4">
      <formula>$AN$34&lt;&gt;1</formula>
    </cfRule>
  </conditionalFormatting>
  <conditionalFormatting sqref="C119">
    <cfRule type="expression" dxfId="3" priority="3">
      <formula>OR($AN$40&lt;&gt;3,$AN$44=FALSE)</formula>
    </cfRule>
  </conditionalFormatting>
  <conditionalFormatting sqref="P46">
    <cfRule type="cellIs" dxfId="2" priority="10" operator="equal">
      <formula>"choisir le type de travaux"</formula>
    </cfRule>
  </conditionalFormatting>
  <conditionalFormatting sqref="T21:AK21">
    <cfRule type="expression" dxfId="1" priority="11">
      <formula>$AN$24=2</formula>
    </cfRule>
  </conditionalFormatting>
  <conditionalFormatting sqref="AD12:AH12">
    <cfRule type="cellIs" dxfId="0" priority="9" operator="equal">
      <formula>"à renseigner"</formula>
    </cfRule>
  </conditionalFormatting>
  <dataValidations count="5">
    <dataValidation type="list" showInputMessage="1" showErrorMessage="1" sqref="Y44:AK44" xr:uid="{00000000-0002-0000-0300-000000000000}">
      <formula1>$U$159:$U$166</formula1>
    </dataValidation>
    <dataValidation type="list" showInputMessage="1" showErrorMessage="1" sqref="Y40:AK40" xr:uid="{00000000-0002-0000-0300-000001000000}">
      <formula1>$U$149:$U$155</formula1>
    </dataValidation>
    <dataValidation type="list" allowBlank="1" showInputMessage="1" showErrorMessage="1" sqref="N47" xr:uid="{00000000-0002-0000-0300-000002000000}">
      <formula1>$K$131:$K$143</formula1>
    </dataValidation>
    <dataValidation type="list" showInputMessage="1" showErrorMessage="1" sqref="O47:AK47" xr:uid="{00000000-0002-0000-0300-000003000000}">
      <formula1>$K$131:$K$143</formula1>
    </dataValidation>
    <dataValidation type="list" showInputMessage="1" showErrorMessage="1" sqref="O48:AK48" xr:uid="{00000000-0002-0000-0300-000004000000}">
      <formula1>IF($K$145=TRUE,(IF($AQ$14=TRUE,$U$130:$U$133,$U$135:$U$144)),$K$146:$K$147)</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247650</xdr:colOff>
                    <xdr:row>15</xdr:row>
                    <xdr:rowOff>9525</xdr:rowOff>
                  </from>
                  <to>
                    <xdr:col>11</xdr:col>
                    <xdr:colOff>57150</xdr:colOff>
                    <xdr:row>15</xdr:row>
                    <xdr:rowOff>219075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23</xdr:col>
                    <xdr:colOff>9525</xdr:colOff>
                    <xdr:row>15</xdr:row>
                    <xdr:rowOff>19050</xdr:rowOff>
                  </from>
                  <to>
                    <xdr:col>23</xdr:col>
                    <xdr:colOff>238125</xdr:colOff>
                    <xdr:row>15</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123825</xdr:colOff>
                    <xdr:row>111</xdr:row>
                    <xdr:rowOff>0</xdr:rowOff>
                  </from>
                  <to>
                    <xdr:col>1</xdr:col>
                    <xdr:colOff>152400</xdr:colOff>
                    <xdr:row>112</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123825</xdr:colOff>
                    <xdr:row>112</xdr:row>
                    <xdr:rowOff>190500</xdr:rowOff>
                  </from>
                  <to>
                    <xdr:col>1</xdr:col>
                    <xdr:colOff>142875</xdr:colOff>
                    <xdr:row>113</xdr:row>
                    <xdr:rowOff>200025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123825</xdr:colOff>
                    <xdr:row>111</xdr:row>
                    <xdr:rowOff>200025</xdr:rowOff>
                  </from>
                  <to>
                    <xdr:col>1</xdr:col>
                    <xdr:colOff>142875</xdr:colOff>
                    <xdr:row>112</xdr:row>
                    <xdr:rowOff>190500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247650</xdr:colOff>
                    <xdr:row>16</xdr:row>
                    <xdr:rowOff>9525</xdr:rowOff>
                  </from>
                  <to>
                    <xdr:col>11</xdr:col>
                    <xdr:colOff>57150</xdr:colOff>
                    <xdr:row>16</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23</xdr:col>
                    <xdr:colOff>9525</xdr:colOff>
                    <xdr:row>16</xdr:row>
                    <xdr:rowOff>19050</xdr:rowOff>
                  </from>
                  <to>
                    <xdr:col>23</xdr:col>
                    <xdr:colOff>238125</xdr:colOff>
                    <xdr:row>16</xdr:row>
                    <xdr:rowOff>238125</xdr:rowOff>
                  </to>
                </anchor>
              </controlPr>
            </control>
          </mc:Choice>
        </mc:AlternateContent>
        <mc:AlternateContent xmlns:mc="http://schemas.openxmlformats.org/markup-compatibility/2006">
          <mc:Choice Requires="x14">
            <control shapeId="8200" r:id="rId11" name="Option Button 8">
              <controlPr locked="0" defaultSize="0" autoFill="0" autoLine="0" autoPict="0">
                <anchor moveWithCells="1">
                  <from>
                    <xdr:col>14</xdr:col>
                    <xdr:colOff>47625</xdr:colOff>
                    <xdr:row>11</xdr:row>
                    <xdr:rowOff>9525</xdr:rowOff>
                  </from>
                  <to>
                    <xdr:col>17</xdr:col>
                    <xdr:colOff>28575</xdr:colOff>
                    <xdr:row>12</xdr:row>
                    <xdr:rowOff>9525</xdr:rowOff>
                  </to>
                </anchor>
              </controlPr>
            </control>
          </mc:Choice>
        </mc:AlternateContent>
        <mc:AlternateContent xmlns:mc="http://schemas.openxmlformats.org/markup-compatibility/2006">
          <mc:Choice Requires="x14">
            <control shapeId="8201" r:id="rId12" name="Option Button 9">
              <controlPr locked="0" defaultSize="0" autoFill="0" autoLine="0" autoPict="0">
                <anchor moveWithCells="1">
                  <from>
                    <xdr:col>17</xdr:col>
                    <xdr:colOff>133350</xdr:colOff>
                    <xdr:row>11</xdr:row>
                    <xdr:rowOff>9525</xdr:rowOff>
                  </from>
                  <to>
                    <xdr:col>20</xdr:col>
                    <xdr:colOff>19050</xdr:colOff>
                    <xdr:row>12</xdr:row>
                    <xdr:rowOff>9525</xdr:rowOff>
                  </to>
                </anchor>
              </controlPr>
            </control>
          </mc:Choice>
        </mc:AlternateContent>
        <mc:AlternateContent xmlns:mc="http://schemas.openxmlformats.org/markup-compatibility/2006">
          <mc:Choice Requires="x14">
            <control shapeId="8202" r:id="rId13" name="Group Box 10">
              <controlPr defaultSize="0" autoFill="0" autoPict="0">
                <anchor moveWithCells="1">
                  <from>
                    <xdr:col>13</xdr:col>
                    <xdr:colOff>19050</xdr:colOff>
                    <xdr:row>10</xdr:row>
                    <xdr:rowOff>133350</xdr:rowOff>
                  </from>
                  <to>
                    <xdr:col>20</xdr:col>
                    <xdr:colOff>180975</xdr:colOff>
                    <xdr:row>12</xdr:row>
                    <xdr:rowOff>19050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11</xdr:col>
                    <xdr:colOff>38100</xdr:colOff>
                    <xdr:row>20</xdr:row>
                    <xdr:rowOff>0</xdr:rowOff>
                  </from>
                  <to>
                    <xdr:col>12</xdr:col>
                    <xdr:colOff>38100</xdr:colOff>
                    <xdr:row>21</xdr:row>
                    <xdr:rowOff>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15</xdr:col>
                    <xdr:colOff>28575</xdr:colOff>
                    <xdr:row>20</xdr:row>
                    <xdr:rowOff>0</xdr:rowOff>
                  </from>
                  <to>
                    <xdr:col>16</xdr:col>
                    <xdr:colOff>38100</xdr:colOff>
                    <xdr:row>21</xdr:row>
                    <xdr:rowOff>0</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11</xdr:col>
                    <xdr:colOff>28575</xdr:colOff>
                    <xdr:row>19</xdr:row>
                    <xdr:rowOff>190500</xdr:rowOff>
                  </from>
                  <to>
                    <xdr:col>17</xdr:col>
                    <xdr:colOff>190500</xdr:colOff>
                    <xdr:row>21</xdr:row>
                    <xdr:rowOff>19050</xdr:rowOff>
                  </to>
                </anchor>
              </controlPr>
            </control>
          </mc:Choice>
        </mc:AlternateContent>
        <mc:AlternateContent xmlns:mc="http://schemas.openxmlformats.org/markup-compatibility/2006">
          <mc:Choice Requires="x14">
            <control shapeId="8206" r:id="rId17" name="Option Button 14">
              <controlPr defaultSize="0" autoFill="0" autoLine="0" autoPict="0">
                <anchor moveWithCells="1">
                  <from>
                    <xdr:col>10</xdr:col>
                    <xdr:colOff>0</xdr:colOff>
                    <xdr:row>24</xdr:row>
                    <xdr:rowOff>0</xdr:rowOff>
                  </from>
                  <to>
                    <xdr:col>10</xdr:col>
                    <xdr:colOff>428625</xdr:colOff>
                    <xdr:row>25</xdr:row>
                    <xdr:rowOff>0</xdr:rowOff>
                  </to>
                </anchor>
              </controlPr>
            </control>
          </mc:Choice>
        </mc:AlternateContent>
        <mc:AlternateContent xmlns:mc="http://schemas.openxmlformats.org/markup-compatibility/2006">
          <mc:Choice Requires="x14">
            <control shapeId="8207" r:id="rId18" name="Option Button 15">
              <controlPr defaultSize="0" autoFill="0" autoLine="0" autoPict="0">
                <anchor moveWithCells="1">
                  <from>
                    <xdr:col>11</xdr:col>
                    <xdr:colOff>47625</xdr:colOff>
                    <xdr:row>24</xdr:row>
                    <xdr:rowOff>0</xdr:rowOff>
                  </from>
                  <to>
                    <xdr:col>13</xdr:col>
                    <xdr:colOff>76200</xdr:colOff>
                    <xdr:row>25</xdr:row>
                    <xdr:rowOff>0</xdr:rowOff>
                  </to>
                </anchor>
              </controlPr>
            </control>
          </mc:Choice>
        </mc:AlternateContent>
        <mc:AlternateContent xmlns:mc="http://schemas.openxmlformats.org/markup-compatibility/2006">
          <mc:Choice Requires="x14">
            <control shapeId="8208" r:id="rId19" name="Option Button 16">
              <controlPr defaultSize="0" autoFill="0" autoLine="0" autoPict="0">
                <anchor moveWithCells="1">
                  <from>
                    <xdr:col>18</xdr:col>
                    <xdr:colOff>9525</xdr:colOff>
                    <xdr:row>26</xdr:row>
                    <xdr:rowOff>47625</xdr:rowOff>
                  </from>
                  <to>
                    <xdr:col>19</xdr:col>
                    <xdr:colOff>238125</xdr:colOff>
                    <xdr:row>27</xdr:row>
                    <xdr:rowOff>114300</xdr:rowOff>
                  </to>
                </anchor>
              </controlPr>
            </control>
          </mc:Choice>
        </mc:AlternateContent>
        <mc:AlternateContent xmlns:mc="http://schemas.openxmlformats.org/markup-compatibility/2006">
          <mc:Choice Requires="x14">
            <control shapeId="8209" r:id="rId20" name="Option Button 17">
              <controlPr defaultSize="0" autoFill="0" autoLine="0" autoPict="0">
                <anchor moveWithCells="1">
                  <from>
                    <xdr:col>19</xdr:col>
                    <xdr:colOff>295275</xdr:colOff>
                    <xdr:row>26</xdr:row>
                    <xdr:rowOff>47625</xdr:rowOff>
                  </from>
                  <to>
                    <xdr:col>22</xdr:col>
                    <xdr:colOff>19050</xdr:colOff>
                    <xdr:row>27</xdr:row>
                    <xdr:rowOff>114300</xdr:rowOff>
                  </to>
                </anchor>
              </controlPr>
            </control>
          </mc:Choice>
        </mc:AlternateContent>
        <mc:AlternateContent xmlns:mc="http://schemas.openxmlformats.org/markup-compatibility/2006">
          <mc:Choice Requires="x14">
            <control shapeId="8210" r:id="rId21" name="Group Box 18">
              <controlPr defaultSize="0" autoFill="0" autoPict="0">
                <anchor moveWithCells="1">
                  <from>
                    <xdr:col>8</xdr:col>
                    <xdr:colOff>180975</xdr:colOff>
                    <xdr:row>23</xdr:row>
                    <xdr:rowOff>171450</xdr:rowOff>
                  </from>
                  <to>
                    <xdr:col>14</xdr:col>
                    <xdr:colOff>0</xdr:colOff>
                    <xdr:row>25</xdr:row>
                    <xdr:rowOff>0</xdr:rowOff>
                  </to>
                </anchor>
              </controlPr>
            </control>
          </mc:Choice>
        </mc:AlternateContent>
        <mc:AlternateContent xmlns:mc="http://schemas.openxmlformats.org/markup-compatibility/2006">
          <mc:Choice Requires="x14">
            <control shapeId="8211" r:id="rId22" name="Group Box 19">
              <controlPr defaultSize="0" autoFill="0" autoPict="0">
                <anchor moveWithCells="1">
                  <from>
                    <xdr:col>16</xdr:col>
                    <xdr:colOff>190500</xdr:colOff>
                    <xdr:row>26</xdr:row>
                    <xdr:rowOff>19050</xdr:rowOff>
                  </from>
                  <to>
                    <xdr:col>23</xdr:col>
                    <xdr:colOff>9525</xdr:colOff>
                    <xdr:row>27</xdr:row>
                    <xdr:rowOff>133350</xdr:rowOff>
                  </to>
                </anchor>
              </controlPr>
            </control>
          </mc:Choice>
        </mc:AlternateContent>
        <mc:AlternateContent xmlns:mc="http://schemas.openxmlformats.org/markup-compatibility/2006">
          <mc:Choice Requires="x14">
            <control shapeId="8212" r:id="rId23" name="Option Button 20">
              <controlPr defaultSize="0" autoFill="0" autoLine="0" autoPict="0">
                <anchor moveWithCells="1">
                  <from>
                    <xdr:col>7</xdr:col>
                    <xdr:colOff>9525</xdr:colOff>
                    <xdr:row>30</xdr:row>
                    <xdr:rowOff>0</xdr:rowOff>
                  </from>
                  <to>
                    <xdr:col>7</xdr:col>
                    <xdr:colOff>190500</xdr:colOff>
                    <xdr:row>30</xdr:row>
                    <xdr:rowOff>142875</xdr:rowOff>
                  </to>
                </anchor>
              </controlPr>
            </control>
          </mc:Choice>
        </mc:AlternateContent>
        <mc:AlternateContent xmlns:mc="http://schemas.openxmlformats.org/markup-compatibility/2006">
          <mc:Choice Requires="x14">
            <control shapeId="8213" r:id="rId24" name="Option Button 21">
              <controlPr defaultSize="0" autoFill="0" autoLine="0" autoPict="0">
                <anchor moveWithCells="1">
                  <from>
                    <xdr:col>7</xdr:col>
                    <xdr:colOff>9525</xdr:colOff>
                    <xdr:row>30</xdr:row>
                    <xdr:rowOff>171450</xdr:rowOff>
                  </from>
                  <to>
                    <xdr:col>7</xdr:col>
                    <xdr:colOff>190500</xdr:colOff>
                    <xdr:row>31</xdr:row>
                    <xdr:rowOff>133350</xdr:rowOff>
                  </to>
                </anchor>
              </controlPr>
            </control>
          </mc:Choice>
        </mc:AlternateContent>
        <mc:AlternateContent xmlns:mc="http://schemas.openxmlformats.org/markup-compatibility/2006">
          <mc:Choice Requires="x14">
            <control shapeId="8214" r:id="rId25" name="Option Button 22">
              <controlPr defaultSize="0" autoFill="0" autoLine="0" autoPict="0">
                <anchor moveWithCells="1">
                  <from>
                    <xdr:col>7</xdr:col>
                    <xdr:colOff>9525</xdr:colOff>
                    <xdr:row>31</xdr:row>
                    <xdr:rowOff>171450</xdr:rowOff>
                  </from>
                  <to>
                    <xdr:col>7</xdr:col>
                    <xdr:colOff>190500</xdr:colOff>
                    <xdr:row>32</xdr:row>
                    <xdr:rowOff>133350</xdr:rowOff>
                  </to>
                </anchor>
              </controlPr>
            </control>
          </mc:Choice>
        </mc:AlternateContent>
        <mc:AlternateContent xmlns:mc="http://schemas.openxmlformats.org/markup-compatibility/2006">
          <mc:Choice Requires="x14">
            <control shapeId="8215" r:id="rId26" name="Option Button 23">
              <controlPr defaultSize="0" autoFill="0" autoLine="0" autoPict="0">
                <anchor moveWithCells="1">
                  <from>
                    <xdr:col>7</xdr:col>
                    <xdr:colOff>9525</xdr:colOff>
                    <xdr:row>32</xdr:row>
                    <xdr:rowOff>171450</xdr:rowOff>
                  </from>
                  <to>
                    <xdr:col>7</xdr:col>
                    <xdr:colOff>190500</xdr:colOff>
                    <xdr:row>33</xdr:row>
                    <xdr:rowOff>133350</xdr:rowOff>
                  </to>
                </anchor>
              </controlPr>
            </control>
          </mc:Choice>
        </mc:AlternateContent>
        <mc:AlternateContent xmlns:mc="http://schemas.openxmlformats.org/markup-compatibility/2006">
          <mc:Choice Requires="x14">
            <control shapeId="8216" r:id="rId27" name="Option Button 24">
              <controlPr defaultSize="0" autoFill="0" autoLine="0" autoPict="0">
                <anchor moveWithCells="1">
                  <from>
                    <xdr:col>7</xdr:col>
                    <xdr:colOff>9525</xdr:colOff>
                    <xdr:row>33</xdr:row>
                    <xdr:rowOff>171450</xdr:rowOff>
                  </from>
                  <to>
                    <xdr:col>7</xdr:col>
                    <xdr:colOff>190500</xdr:colOff>
                    <xdr:row>34</xdr:row>
                    <xdr:rowOff>133350</xdr:rowOff>
                  </to>
                </anchor>
              </controlPr>
            </control>
          </mc:Choice>
        </mc:AlternateContent>
        <mc:AlternateContent xmlns:mc="http://schemas.openxmlformats.org/markup-compatibility/2006">
          <mc:Choice Requires="x14">
            <control shapeId="8218" r:id="rId28" name="Option Button 26">
              <controlPr defaultSize="0" autoFill="0" autoLine="0" autoPict="0">
                <anchor moveWithCells="1">
                  <from>
                    <xdr:col>7</xdr:col>
                    <xdr:colOff>9525</xdr:colOff>
                    <xdr:row>37</xdr:row>
                    <xdr:rowOff>28575</xdr:rowOff>
                  </from>
                  <to>
                    <xdr:col>7</xdr:col>
                    <xdr:colOff>190500</xdr:colOff>
                    <xdr:row>37</xdr:row>
                    <xdr:rowOff>171450</xdr:rowOff>
                  </to>
                </anchor>
              </controlPr>
            </control>
          </mc:Choice>
        </mc:AlternateContent>
        <mc:AlternateContent xmlns:mc="http://schemas.openxmlformats.org/markup-compatibility/2006">
          <mc:Choice Requires="x14">
            <control shapeId="8219" r:id="rId29" name="Option Button 27">
              <controlPr defaultSize="0" autoFill="0" autoLine="0" autoPict="0">
                <anchor moveWithCells="1">
                  <from>
                    <xdr:col>7</xdr:col>
                    <xdr:colOff>9525</xdr:colOff>
                    <xdr:row>38</xdr:row>
                    <xdr:rowOff>28575</xdr:rowOff>
                  </from>
                  <to>
                    <xdr:col>7</xdr:col>
                    <xdr:colOff>190500</xdr:colOff>
                    <xdr:row>38</xdr:row>
                    <xdr:rowOff>171450</xdr:rowOff>
                  </to>
                </anchor>
              </controlPr>
            </control>
          </mc:Choice>
        </mc:AlternateContent>
        <mc:AlternateContent xmlns:mc="http://schemas.openxmlformats.org/markup-compatibility/2006">
          <mc:Choice Requires="x14">
            <control shapeId="8220" r:id="rId30" name="Option Button 28">
              <controlPr defaultSize="0" autoFill="0" autoLine="0" autoPict="0">
                <anchor moveWithCells="1">
                  <from>
                    <xdr:col>7</xdr:col>
                    <xdr:colOff>9525</xdr:colOff>
                    <xdr:row>39</xdr:row>
                    <xdr:rowOff>19050</xdr:rowOff>
                  </from>
                  <to>
                    <xdr:col>7</xdr:col>
                    <xdr:colOff>190500</xdr:colOff>
                    <xdr:row>39</xdr:row>
                    <xdr:rowOff>171450</xdr:rowOff>
                  </to>
                </anchor>
              </controlPr>
            </control>
          </mc:Choice>
        </mc:AlternateContent>
        <mc:AlternateContent xmlns:mc="http://schemas.openxmlformats.org/markup-compatibility/2006">
          <mc:Choice Requires="x14">
            <control shapeId="8221" r:id="rId31" name="Option Button 29">
              <controlPr defaultSize="0" autoFill="0" autoLine="0" autoPict="0">
                <anchor moveWithCells="1">
                  <from>
                    <xdr:col>7</xdr:col>
                    <xdr:colOff>19050</xdr:colOff>
                    <xdr:row>40</xdr:row>
                    <xdr:rowOff>171450</xdr:rowOff>
                  </from>
                  <to>
                    <xdr:col>8</xdr:col>
                    <xdr:colOff>9525</xdr:colOff>
                    <xdr:row>42</xdr:row>
                    <xdr:rowOff>9525</xdr:rowOff>
                  </to>
                </anchor>
              </controlPr>
            </control>
          </mc:Choice>
        </mc:AlternateContent>
        <mc:AlternateContent xmlns:mc="http://schemas.openxmlformats.org/markup-compatibility/2006">
          <mc:Choice Requires="x14">
            <control shapeId="8222" r:id="rId32" name="Option Button 30">
              <controlPr defaultSize="0" autoFill="0" autoLine="0" autoPict="0">
                <anchor moveWithCells="1">
                  <from>
                    <xdr:col>7</xdr:col>
                    <xdr:colOff>19050</xdr:colOff>
                    <xdr:row>41</xdr:row>
                    <xdr:rowOff>161925</xdr:rowOff>
                  </from>
                  <to>
                    <xdr:col>8</xdr:col>
                    <xdr:colOff>9525</xdr:colOff>
                    <xdr:row>42</xdr:row>
                    <xdr:rowOff>180975</xdr:rowOff>
                  </to>
                </anchor>
              </controlPr>
            </control>
          </mc:Choice>
        </mc:AlternateContent>
        <mc:AlternateContent xmlns:mc="http://schemas.openxmlformats.org/markup-compatibility/2006">
          <mc:Choice Requires="x14">
            <control shapeId="8223" r:id="rId33" name="Group Box 31">
              <controlPr defaultSize="0" autoFill="0" autoPict="0">
                <anchor moveWithCells="1">
                  <from>
                    <xdr:col>6</xdr:col>
                    <xdr:colOff>190500</xdr:colOff>
                    <xdr:row>40</xdr:row>
                    <xdr:rowOff>152400</xdr:rowOff>
                  </from>
                  <to>
                    <xdr:col>8</xdr:col>
                    <xdr:colOff>38100</xdr:colOff>
                    <xdr:row>43</xdr:row>
                    <xdr:rowOff>19050</xdr:rowOff>
                  </to>
                </anchor>
              </controlPr>
            </control>
          </mc:Choice>
        </mc:AlternateContent>
        <mc:AlternateContent xmlns:mc="http://schemas.openxmlformats.org/markup-compatibility/2006">
          <mc:Choice Requires="x14">
            <control shapeId="8224" r:id="rId34" name="Group Box 32">
              <controlPr defaultSize="0" autoFill="0" autoPict="0">
                <anchor moveWithCells="1">
                  <from>
                    <xdr:col>10</xdr:col>
                    <xdr:colOff>409575</xdr:colOff>
                    <xdr:row>41</xdr:row>
                    <xdr:rowOff>171450</xdr:rowOff>
                  </from>
                  <to>
                    <xdr:col>12</xdr:col>
                    <xdr:colOff>9525</xdr:colOff>
                    <xdr:row>44</xdr:row>
                    <xdr:rowOff>28575</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0</xdr:col>
                    <xdr:colOff>123825</xdr:colOff>
                    <xdr:row>113</xdr:row>
                    <xdr:rowOff>180975</xdr:rowOff>
                  </from>
                  <to>
                    <xdr:col>1</xdr:col>
                    <xdr:colOff>142875</xdr:colOff>
                    <xdr:row>114</xdr:row>
                    <xdr:rowOff>200025</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0</xdr:col>
                    <xdr:colOff>123825</xdr:colOff>
                    <xdr:row>114</xdr:row>
                    <xdr:rowOff>190500</xdr:rowOff>
                  </from>
                  <to>
                    <xdr:col>1</xdr:col>
                    <xdr:colOff>142875</xdr:colOff>
                    <xdr:row>115</xdr:row>
                    <xdr:rowOff>190500</xdr:rowOff>
                  </to>
                </anchor>
              </controlPr>
            </control>
          </mc:Choice>
        </mc:AlternateContent>
        <mc:AlternateContent xmlns:mc="http://schemas.openxmlformats.org/markup-compatibility/2006">
          <mc:Choice Requires="x14">
            <control shapeId="8227" r:id="rId37" name="Option Button 35">
              <controlPr defaultSize="0" autoFill="0" autoLine="0" autoPict="0">
                <anchor moveWithCells="1">
                  <from>
                    <xdr:col>17</xdr:col>
                    <xdr:colOff>28575</xdr:colOff>
                    <xdr:row>73</xdr:row>
                    <xdr:rowOff>38100</xdr:rowOff>
                  </from>
                  <to>
                    <xdr:col>19</xdr:col>
                    <xdr:colOff>57150</xdr:colOff>
                    <xdr:row>73</xdr:row>
                    <xdr:rowOff>257175</xdr:rowOff>
                  </to>
                </anchor>
              </controlPr>
            </control>
          </mc:Choice>
        </mc:AlternateContent>
        <mc:AlternateContent xmlns:mc="http://schemas.openxmlformats.org/markup-compatibility/2006">
          <mc:Choice Requires="x14">
            <control shapeId="8228" r:id="rId38" name="Option Button 36">
              <controlPr defaultSize="0" autoFill="0" autoLine="0" autoPict="0">
                <anchor moveWithCells="1">
                  <from>
                    <xdr:col>19</xdr:col>
                    <xdr:colOff>152400</xdr:colOff>
                    <xdr:row>73</xdr:row>
                    <xdr:rowOff>38100</xdr:rowOff>
                  </from>
                  <to>
                    <xdr:col>21</xdr:col>
                    <xdr:colOff>85725</xdr:colOff>
                    <xdr:row>73</xdr:row>
                    <xdr:rowOff>257175</xdr:rowOff>
                  </to>
                </anchor>
              </controlPr>
            </control>
          </mc:Choice>
        </mc:AlternateContent>
        <mc:AlternateContent xmlns:mc="http://schemas.openxmlformats.org/markup-compatibility/2006">
          <mc:Choice Requires="x14">
            <control shapeId="8229" r:id="rId39" name="Group Box 37">
              <controlPr defaultSize="0" autoFill="0" autoPict="0">
                <anchor moveWithCells="1">
                  <from>
                    <xdr:col>17</xdr:col>
                    <xdr:colOff>0</xdr:colOff>
                    <xdr:row>72</xdr:row>
                    <xdr:rowOff>285750</xdr:rowOff>
                  </from>
                  <to>
                    <xdr:col>22</xdr:col>
                    <xdr:colOff>0</xdr:colOff>
                    <xdr:row>74</xdr:row>
                    <xdr:rowOff>19050</xdr:rowOff>
                  </to>
                </anchor>
              </controlPr>
            </control>
          </mc:Choice>
        </mc:AlternateContent>
        <mc:AlternateContent xmlns:mc="http://schemas.openxmlformats.org/markup-compatibility/2006">
          <mc:Choice Requires="x14">
            <control shapeId="8230" r:id="rId40" name="Option Button 38">
              <controlPr defaultSize="0" autoFill="0" autoLine="0" autoPict="0">
                <anchor moveWithCells="1">
                  <from>
                    <xdr:col>17</xdr:col>
                    <xdr:colOff>28575</xdr:colOff>
                    <xdr:row>74</xdr:row>
                    <xdr:rowOff>38100</xdr:rowOff>
                  </from>
                  <to>
                    <xdr:col>19</xdr:col>
                    <xdr:colOff>57150</xdr:colOff>
                    <xdr:row>74</xdr:row>
                    <xdr:rowOff>257175</xdr:rowOff>
                  </to>
                </anchor>
              </controlPr>
            </control>
          </mc:Choice>
        </mc:AlternateContent>
        <mc:AlternateContent xmlns:mc="http://schemas.openxmlformats.org/markup-compatibility/2006">
          <mc:Choice Requires="x14">
            <control shapeId="8231" r:id="rId41" name="Option Button 39">
              <controlPr defaultSize="0" autoFill="0" autoLine="0" autoPict="0">
                <anchor moveWithCells="1">
                  <from>
                    <xdr:col>19</xdr:col>
                    <xdr:colOff>152400</xdr:colOff>
                    <xdr:row>74</xdr:row>
                    <xdr:rowOff>38100</xdr:rowOff>
                  </from>
                  <to>
                    <xdr:col>21</xdr:col>
                    <xdr:colOff>85725</xdr:colOff>
                    <xdr:row>74</xdr:row>
                    <xdr:rowOff>257175</xdr:rowOff>
                  </to>
                </anchor>
              </controlPr>
            </control>
          </mc:Choice>
        </mc:AlternateContent>
        <mc:AlternateContent xmlns:mc="http://schemas.openxmlformats.org/markup-compatibility/2006">
          <mc:Choice Requires="x14">
            <control shapeId="8232" r:id="rId42" name="Group Box 40">
              <controlPr defaultSize="0" autoFill="0" autoPict="0">
                <anchor moveWithCells="1">
                  <from>
                    <xdr:col>17</xdr:col>
                    <xdr:colOff>0</xdr:colOff>
                    <xdr:row>74</xdr:row>
                    <xdr:rowOff>28575</xdr:rowOff>
                  </from>
                  <to>
                    <xdr:col>22</xdr:col>
                    <xdr:colOff>0</xdr:colOff>
                    <xdr:row>75</xdr:row>
                    <xdr:rowOff>9525</xdr:rowOff>
                  </to>
                </anchor>
              </controlPr>
            </control>
          </mc:Choice>
        </mc:AlternateContent>
        <mc:AlternateContent xmlns:mc="http://schemas.openxmlformats.org/markup-compatibility/2006">
          <mc:Choice Requires="x14">
            <control shapeId="8233" r:id="rId43" name="Option Button 41">
              <controlPr defaultSize="0" autoFill="0" autoLine="0" autoPict="0">
                <anchor moveWithCells="1">
                  <from>
                    <xdr:col>17</xdr:col>
                    <xdr:colOff>28575</xdr:colOff>
                    <xdr:row>75</xdr:row>
                    <xdr:rowOff>38100</xdr:rowOff>
                  </from>
                  <to>
                    <xdr:col>19</xdr:col>
                    <xdr:colOff>76200</xdr:colOff>
                    <xdr:row>76</xdr:row>
                    <xdr:rowOff>9525</xdr:rowOff>
                  </to>
                </anchor>
              </controlPr>
            </control>
          </mc:Choice>
        </mc:AlternateContent>
        <mc:AlternateContent xmlns:mc="http://schemas.openxmlformats.org/markup-compatibility/2006">
          <mc:Choice Requires="x14">
            <control shapeId="8234" r:id="rId44" name="Option Button 42">
              <controlPr defaultSize="0" autoFill="0" autoLine="0" autoPict="0">
                <anchor moveWithCells="1">
                  <from>
                    <xdr:col>19</xdr:col>
                    <xdr:colOff>152400</xdr:colOff>
                    <xdr:row>75</xdr:row>
                    <xdr:rowOff>38100</xdr:rowOff>
                  </from>
                  <to>
                    <xdr:col>21</xdr:col>
                    <xdr:colOff>104775</xdr:colOff>
                    <xdr:row>76</xdr:row>
                    <xdr:rowOff>9525</xdr:rowOff>
                  </to>
                </anchor>
              </controlPr>
            </control>
          </mc:Choice>
        </mc:AlternateContent>
        <mc:AlternateContent xmlns:mc="http://schemas.openxmlformats.org/markup-compatibility/2006">
          <mc:Choice Requires="x14">
            <control shapeId="8235" r:id="rId45" name="Group Box 43">
              <controlPr defaultSize="0" autoFill="0" autoPict="0">
                <anchor moveWithCells="1">
                  <from>
                    <xdr:col>17</xdr:col>
                    <xdr:colOff>0</xdr:colOff>
                    <xdr:row>75</xdr:row>
                    <xdr:rowOff>19050</xdr:rowOff>
                  </from>
                  <to>
                    <xdr:col>22</xdr:col>
                    <xdr:colOff>0</xdr:colOff>
                    <xdr:row>76</xdr:row>
                    <xdr:rowOff>19050</xdr:rowOff>
                  </to>
                </anchor>
              </controlPr>
            </control>
          </mc:Choice>
        </mc:AlternateContent>
        <mc:AlternateContent xmlns:mc="http://schemas.openxmlformats.org/markup-compatibility/2006">
          <mc:Choice Requires="x14">
            <control shapeId="8236" r:id="rId46" name="Option Button 44">
              <controlPr defaultSize="0" autoFill="0" autoLine="0" autoPict="0">
                <anchor moveWithCells="1">
                  <from>
                    <xdr:col>17</xdr:col>
                    <xdr:colOff>28575</xdr:colOff>
                    <xdr:row>76</xdr:row>
                    <xdr:rowOff>38100</xdr:rowOff>
                  </from>
                  <to>
                    <xdr:col>19</xdr:col>
                    <xdr:colOff>66675</xdr:colOff>
                    <xdr:row>77</xdr:row>
                    <xdr:rowOff>76200</xdr:rowOff>
                  </to>
                </anchor>
              </controlPr>
            </control>
          </mc:Choice>
        </mc:AlternateContent>
        <mc:AlternateContent xmlns:mc="http://schemas.openxmlformats.org/markup-compatibility/2006">
          <mc:Choice Requires="x14">
            <control shapeId="8237" r:id="rId47" name="Option Button 45">
              <controlPr defaultSize="0" autoFill="0" autoLine="0" autoPict="0">
                <anchor moveWithCells="1">
                  <from>
                    <xdr:col>19</xdr:col>
                    <xdr:colOff>152400</xdr:colOff>
                    <xdr:row>76</xdr:row>
                    <xdr:rowOff>38100</xdr:rowOff>
                  </from>
                  <to>
                    <xdr:col>21</xdr:col>
                    <xdr:colOff>95250</xdr:colOff>
                    <xdr:row>77</xdr:row>
                    <xdr:rowOff>76200</xdr:rowOff>
                  </to>
                </anchor>
              </controlPr>
            </control>
          </mc:Choice>
        </mc:AlternateContent>
        <mc:AlternateContent xmlns:mc="http://schemas.openxmlformats.org/markup-compatibility/2006">
          <mc:Choice Requires="x14">
            <control shapeId="8238" r:id="rId48" name="Group Box 46">
              <controlPr defaultSize="0" autoFill="0" autoPict="0">
                <anchor moveWithCells="1">
                  <from>
                    <xdr:col>17</xdr:col>
                    <xdr:colOff>0</xdr:colOff>
                    <xdr:row>76</xdr:row>
                    <xdr:rowOff>19050</xdr:rowOff>
                  </from>
                  <to>
                    <xdr:col>22</xdr:col>
                    <xdr:colOff>0</xdr:colOff>
                    <xdr:row>78</xdr:row>
                    <xdr:rowOff>9525</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0</xdr:col>
                    <xdr:colOff>123825</xdr:colOff>
                    <xdr:row>115</xdr:row>
                    <xdr:rowOff>171450</xdr:rowOff>
                  </from>
                  <to>
                    <xdr:col>1</xdr:col>
                    <xdr:colOff>142875</xdr:colOff>
                    <xdr:row>116</xdr:row>
                    <xdr:rowOff>171450</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0</xdr:col>
                    <xdr:colOff>123825</xdr:colOff>
                    <xdr:row>116</xdr:row>
                    <xdr:rowOff>161925</xdr:rowOff>
                  </from>
                  <to>
                    <xdr:col>1</xdr:col>
                    <xdr:colOff>142875</xdr:colOff>
                    <xdr:row>117</xdr:row>
                    <xdr:rowOff>171450</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10</xdr:col>
                    <xdr:colOff>419100</xdr:colOff>
                    <xdr:row>41</xdr:row>
                    <xdr:rowOff>190500</xdr:rowOff>
                  </from>
                  <to>
                    <xdr:col>12</xdr:col>
                    <xdr:colOff>0</xdr:colOff>
                    <xdr:row>43</xdr:row>
                    <xdr:rowOff>28575</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10</xdr:col>
                    <xdr:colOff>419100</xdr:colOff>
                    <xdr:row>42</xdr:row>
                    <xdr:rowOff>180975</xdr:rowOff>
                  </from>
                  <to>
                    <xdr:col>12</xdr:col>
                    <xdr:colOff>0</xdr:colOff>
                    <xdr:row>44</xdr:row>
                    <xdr:rowOff>19050</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0</xdr:col>
                    <xdr:colOff>123825</xdr:colOff>
                    <xdr:row>117</xdr:row>
                    <xdr:rowOff>142875</xdr:rowOff>
                  </from>
                  <to>
                    <xdr:col>1</xdr:col>
                    <xdr:colOff>142875</xdr:colOff>
                    <xdr:row>118</xdr:row>
                    <xdr:rowOff>142875</xdr:rowOff>
                  </to>
                </anchor>
              </controlPr>
            </control>
          </mc:Choice>
        </mc:AlternateContent>
        <mc:AlternateContent xmlns:mc="http://schemas.openxmlformats.org/markup-compatibility/2006">
          <mc:Choice Requires="x14">
            <control shapeId="8275" r:id="rId54" name="Group Box 83">
              <controlPr defaultSize="0" autoFill="0" autoPict="0">
                <anchor moveWithCells="1">
                  <from>
                    <xdr:col>6</xdr:col>
                    <xdr:colOff>171450</xdr:colOff>
                    <xdr:row>29</xdr:row>
                    <xdr:rowOff>161925</xdr:rowOff>
                  </from>
                  <to>
                    <xdr:col>8</xdr:col>
                    <xdr:colOff>19050</xdr:colOff>
                    <xdr:row>35</xdr:row>
                    <xdr:rowOff>19050</xdr:rowOff>
                  </to>
                </anchor>
              </controlPr>
            </control>
          </mc:Choice>
        </mc:AlternateContent>
        <mc:AlternateContent xmlns:mc="http://schemas.openxmlformats.org/markup-compatibility/2006">
          <mc:Choice Requires="x14">
            <control shapeId="8276" r:id="rId55" name="Group Box 84">
              <controlPr defaultSize="0" autoFill="0" autoPict="0">
                <anchor moveWithCells="1">
                  <from>
                    <xdr:col>6</xdr:col>
                    <xdr:colOff>180975</xdr:colOff>
                    <xdr:row>36</xdr:row>
                    <xdr:rowOff>180975</xdr:rowOff>
                  </from>
                  <to>
                    <xdr:col>8</xdr:col>
                    <xdr:colOff>19050</xdr:colOff>
                    <xdr:row>40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K13:X36"/>
  <sheetViews>
    <sheetView topLeftCell="B1" workbookViewId="0">
      <selection activeCell="W20" sqref="W20:X33"/>
    </sheetView>
  </sheetViews>
  <sheetFormatPr baseColWidth="10" defaultRowHeight="15" x14ac:dyDescent="0.25"/>
  <sheetData>
    <row r="13" spans="11:21" x14ac:dyDescent="0.25">
      <c r="N13" s="66">
        <v>0.05</v>
      </c>
    </row>
    <row r="15" spans="11:21" x14ac:dyDescent="0.25">
      <c r="K15" s="43">
        <v>28</v>
      </c>
      <c r="L15" s="33" t="s">
        <v>126</v>
      </c>
      <c r="M15" s="33" t="s">
        <v>129</v>
      </c>
      <c r="N15" s="33" t="s">
        <v>130</v>
      </c>
      <c r="O15" s="33"/>
      <c r="P15" s="33"/>
      <c r="Q15" s="57"/>
      <c r="R15" s="57"/>
      <c r="S15" s="33"/>
      <c r="T15" s="33"/>
      <c r="U15" s="33"/>
    </row>
    <row r="16" spans="11:21" x14ac:dyDescent="0.25">
      <c r="K16" s="33"/>
      <c r="L16" s="33" t="s">
        <v>127</v>
      </c>
      <c r="M16" s="33">
        <v>0.17</v>
      </c>
      <c r="N16" s="67">
        <f>M16+((20-$K$15)*M16*$N$13)</f>
        <v>0.10200000000000001</v>
      </c>
      <c r="O16" s="33" t="s">
        <v>159</v>
      </c>
      <c r="P16" s="33"/>
      <c r="Q16" s="57"/>
      <c r="R16" s="57"/>
      <c r="S16" s="33"/>
      <c r="T16" s="33"/>
      <c r="U16" s="33"/>
    </row>
    <row r="17" spans="11:24" x14ac:dyDescent="0.25">
      <c r="K17" s="33"/>
      <c r="L17" s="33" t="s">
        <v>2</v>
      </c>
      <c r="M17" s="33">
        <v>1</v>
      </c>
      <c r="N17" s="67">
        <f t="shared" ref="N17:N35" si="0">M17+((20-$K$15)*M17*$N$13)</f>
        <v>0.6</v>
      </c>
      <c r="O17" s="33" t="s">
        <v>12</v>
      </c>
      <c r="P17" s="33"/>
      <c r="Q17" s="57"/>
      <c r="R17" s="57"/>
      <c r="S17" s="33"/>
      <c r="T17" s="33"/>
      <c r="U17" s="33"/>
    </row>
    <row r="18" spans="11:24" x14ac:dyDescent="0.25">
      <c r="K18" s="33"/>
      <c r="L18" s="33"/>
      <c r="M18" s="33">
        <v>1.2</v>
      </c>
      <c r="N18" s="67">
        <f t="shared" si="0"/>
        <v>0.72</v>
      </c>
      <c r="O18" s="33" t="s">
        <v>15</v>
      </c>
      <c r="P18" s="33"/>
      <c r="Q18" s="57"/>
      <c r="R18" s="57"/>
      <c r="S18" s="33"/>
      <c r="T18" s="33"/>
      <c r="U18" s="33"/>
    </row>
    <row r="19" spans="11:24" x14ac:dyDescent="0.25">
      <c r="K19" s="33"/>
      <c r="L19" s="33"/>
      <c r="M19" s="33">
        <v>0.7</v>
      </c>
      <c r="N19" s="67">
        <f t="shared" si="0"/>
        <v>0.42</v>
      </c>
      <c r="O19" s="33" t="s">
        <v>160</v>
      </c>
      <c r="P19" s="43"/>
      <c r="Q19" s="57"/>
      <c r="R19" s="33" t="s">
        <v>6</v>
      </c>
      <c r="S19" s="33" t="s">
        <v>24</v>
      </c>
      <c r="T19" s="33"/>
      <c r="U19" s="33" t="s">
        <v>131</v>
      </c>
    </row>
    <row r="20" spans="11:24" x14ac:dyDescent="0.25">
      <c r="K20" s="33"/>
      <c r="L20" s="33"/>
      <c r="M20" s="33">
        <v>0.5</v>
      </c>
      <c r="N20" s="67">
        <f t="shared" si="0"/>
        <v>0.3</v>
      </c>
      <c r="O20" s="33" t="s">
        <v>19</v>
      </c>
      <c r="P20" s="43" t="s">
        <v>2</v>
      </c>
      <c r="Q20" s="56" t="s">
        <v>5</v>
      </c>
      <c r="R20" s="57">
        <f>N16</f>
        <v>0.10200000000000001</v>
      </c>
      <c r="S20" s="68">
        <f>N26</f>
        <v>0.15</v>
      </c>
      <c r="T20" s="33"/>
      <c r="U20" s="65">
        <v>0.1</v>
      </c>
      <c r="W20">
        <v>0.10200000000000001</v>
      </c>
      <c r="X20">
        <v>0.15</v>
      </c>
    </row>
    <row r="21" spans="11:24" x14ac:dyDescent="0.25">
      <c r="K21" s="33"/>
      <c r="L21" s="33" t="s">
        <v>127</v>
      </c>
      <c r="M21" s="33">
        <v>0.25</v>
      </c>
      <c r="N21" s="67">
        <f t="shared" si="0"/>
        <v>0.15</v>
      </c>
      <c r="O21" s="33" t="s">
        <v>159</v>
      </c>
      <c r="P21" s="43"/>
      <c r="Q21" s="56" t="s">
        <v>8</v>
      </c>
      <c r="R21" s="57">
        <f>N16</f>
        <v>0.10200000000000001</v>
      </c>
      <c r="S21" s="68">
        <f>N26</f>
        <v>0.15</v>
      </c>
      <c r="T21" s="33"/>
      <c r="U21" s="65">
        <v>0.1</v>
      </c>
      <c r="W21">
        <v>0.10200000000000001</v>
      </c>
      <c r="X21">
        <v>0.15</v>
      </c>
    </row>
    <row r="22" spans="11:24" x14ac:dyDescent="0.25">
      <c r="K22" s="33"/>
      <c r="L22" s="33" t="s">
        <v>3</v>
      </c>
      <c r="M22" s="33">
        <v>1.3</v>
      </c>
      <c r="N22" s="67">
        <f t="shared" si="0"/>
        <v>0.78</v>
      </c>
      <c r="O22" s="33" t="s">
        <v>12</v>
      </c>
      <c r="P22" s="43"/>
      <c r="Q22" s="56" t="s">
        <v>11</v>
      </c>
      <c r="R22" s="57">
        <f t="shared" ref="R22:R27" si="1">N16</f>
        <v>0.10200000000000001</v>
      </c>
      <c r="S22" s="68">
        <f t="shared" ref="S22:S27" si="2">N26</f>
        <v>0.15</v>
      </c>
      <c r="T22" s="33"/>
      <c r="U22" s="65">
        <v>0.1</v>
      </c>
      <c r="W22">
        <v>0.10200000000000001</v>
      </c>
      <c r="X22">
        <v>0.15</v>
      </c>
    </row>
    <row r="23" spans="11:24" x14ac:dyDescent="0.25">
      <c r="K23" s="33"/>
      <c r="L23" s="33"/>
      <c r="M23" s="33">
        <v>1.5</v>
      </c>
      <c r="N23" s="67">
        <f t="shared" si="0"/>
        <v>0.89999999999999991</v>
      </c>
      <c r="O23" s="33" t="s">
        <v>15</v>
      </c>
      <c r="P23" s="43"/>
      <c r="Q23" s="56" t="s">
        <v>12</v>
      </c>
      <c r="R23" s="57">
        <f t="shared" si="1"/>
        <v>0.6</v>
      </c>
      <c r="S23" s="68">
        <f t="shared" si="2"/>
        <v>0.6</v>
      </c>
      <c r="T23" s="33"/>
      <c r="U23" s="43">
        <v>0.8</v>
      </c>
      <c r="W23">
        <v>0.8</v>
      </c>
      <c r="X23">
        <v>0.8</v>
      </c>
    </row>
    <row r="24" spans="11:24" x14ac:dyDescent="0.25">
      <c r="K24" s="33"/>
      <c r="L24" s="33"/>
      <c r="M24" s="33">
        <v>2</v>
      </c>
      <c r="N24" s="67">
        <f t="shared" si="0"/>
        <v>1.2</v>
      </c>
      <c r="O24" s="33" t="s">
        <v>160</v>
      </c>
      <c r="P24" s="43"/>
      <c r="Q24" s="56" t="s">
        <v>15</v>
      </c>
      <c r="R24" s="57">
        <f t="shared" si="1"/>
        <v>0.72</v>
      </c>
      <c r="S24" s="68">
        <f t="shared" si="2"/>
        <v>0.72</v>
      </c>
      <c r="T24" s="33"/>
      <c r="U24" s="43">
        <v>0.8</v>
      </c>
      <c r="W24">
        <v>0.8</v>
      </c>
      <c r="X24">
        <v>0.8</v>
      </c>
    </row>
    <row r="25" spans="11:24" x14ac:dyDescent="0.25">
      <c r="K25" s="33"/>
      <c r="L25" s="33"/>
      <c r="M25" s="33">
        <v>0.5</v>
      </c>
      <c r="N25" s="67">
        <f t="shared" si="0"/>
        <v>0.3</v>
      </c>
      <c r="O25" s="33" t="s">
        <v>19</v>
      </c>
      <c r="P25" s="43"/>
      <c r="Q25" s="56" t="s">
        <v>16</v>
      </c>
      <c r="R25" s="57">
        <f t="shared" si="1"/>
        <v>0.42</v>
      </c>
      <c r="S25" s="68">
        <f t="shared" si="2"/>
        <v>0.42</v>
      </c>
      <c r="T25" s="33"/>
      <c r="U25" s="43">
        <v>0.8</v>
      </c>
      <c r="W25">
        <v>0.8</v>
      </c>
      <c r="X25">
        <v>0.8</v>
      </c>
    </row>
    <row r="26" spans="11:24" x14ac:dyDescent="0.25">
      <c r="K26" s="33"/>
      <c r="L26" s="33" t="s">
        <v>128</v>
      </c>
      <c r="M26" s="33">
        <v>0.25</v>
      </c>
      <c r="N26" s="67">
        <f t="shared" si="0"/>
        <v>0.15</v>
      </c>
      <c r="O26" s="33" t="s">
        <v>159</v>
      </c>
      <c r="P26" s="43"/>
      <c r="Q26" s="56" t="s">
        <v>19</v>
      </c>
      <c r="R26" s="57">
        <f t="shared" si="1"/>
        <v>0.3</v>
      </c>
      <c r="S26" s="68">
        <f t="shared" si="2"/>
        <v>0.3</v>
      </c>
      <c r="T26" s="33"/>
      <c r="U26" s="43">
        <v>0.1</v>
      </c>
      <c r="W26">
        <v>0.3</v>
      </c>
      <c r="X26">
        <v>0.3</v>
      </c>
    </row>
    <row r="27" spans="11:24" x14ac:dyDescent="0.25">
      <c r="K27" s="33"/>
      <c r="L27" s="33" t="s">
        <v>2</v>
      </c>
      <c r="M27" s="33">
        <v>1</v>
      </c>
      <c r="N27" s="67">
        <f t="shared" si="0"/>
        <v>0.6</v>
      </c>
      <c r="O27" s="33" t="s">
        <v>12</v>
      </c>
      <c r="P27" s="43" t="s">
        <v>3</v>
      </c>
      <c r="Q27" s="56" t="s">
        <v>5</v>
      </c>
      <c r="R27" s="57">
        <f t="shared" si="1"/>
        <v>0.15</v>
      </c>
      <c r="S27" s="68">
        <f t="shared" si="2"/>
        <v>0.16800000000000001</v>
      </c>
      <c r="T27" s="33"/>
      <c r="U27" s="65">
        <v>0.1</v>
      </c>
      <c r="W27">
        <v>0.15</v>
      </c>
      <c r="X27">
        <v>0.16800000000000001</v>
      </c>
    </row>
    <row r="28" spans="11:24" x14ac:dyDescent="0.25">
      <c r="K28" s="33"/>
      <c r="L28" s="33"/>
      <c r="M28" s="33">
        <v>1.2</v>
      </c>
      <c r="N28" s="67">
        <f t="shared" si="0"/>
        <v>0.72</v>
      </c>
      <c r="O28" s="33" t="s">
        <v>15</v>
      </c>
      <c r="P28" s="65"/>
      <c r="Q28" s="56" t="s">
        <v>8</v>
      </c>
      <c r="R28" s="68">
        <f>N21</f>
        <v>0.15</v>
      </c>
      <c r="S28" s="68">
        <f>N31</f>
        <v>0.16800000000000001</v>
      </c>
      <c r="T28" s="33"/>
      <c r="U28" s="65">
        <v>0.1</v>
      </c>
      <c r="W28">
        <v>0.15</v>
      </c>
      <c r="X28">
        <v>0.16800000000000001</v>
      </c>
    </row>
    <row r="29" spans="11:24" x14ac:dyDescent="0.25">
      <c r="K29" s="33"/>
      <c r="L29" s="33"/>
      <c r="M29" s="33">
        <v>0.7</v>
      </c>
      <c r="N29" s="67">
        <f t="shared" si="0"/>
        <v>0.42</v>
      </c>
      <c r="O29" s="33" t="s">
        <v>160</v>
      </c>
      <c r="P29" s="57"/>
      <c r="Q29" s="56" t="s">
        <v>11</v>
      </c>
      <c r="R29" s="68">
        <f>N21</f>
        <v>0.15</v>
      </c>
      <c r="S29" s="68">
        <f>N31</f>
        <v>0.16800000000000001</v>
      </c>
      <c r="T29" s="33"/>
      <c r="U29" s="65">
        <v>0.1</v>
      </c>
      <c r="W29">
        <v>0.15</v>
      </c>
      <c r="X29">
        <v>0.16800000000000001</v>
      </c>
    </row>
    <row r="30" spans="11:24" x14ac:dyDescent="0.25">
      <c r="K30" s="33"/>
      <c r="L30" s="33"/>
      <c r="M30" s="33">
        <v>0.5</v>
      </c>
      <c r="N30" s="67">
        <f t="shared" si="0"/>
        <v>0.3</v>
      </c>
      <c r="O30" s="33" t="s">
        <v>19</v>
      </c>
      <c r="P30" s="57"/>
      <c r="Q30" s="56" t="s">
        <v>12</v>
      </c>
      <c r="R30" s="68">
        <f>N22</f>
        <v>0.78</v>
      </c>
      <c r="S30" s="68">
        <f>N32</f>
        <v>0.78</v>
      </c>
      <c r="T30" s="33"/>
      <c r="U30" s="43">
        <v>0.8</v>
      </c>
      <c r="W30">
        <v>0.8</v>
      </c>
      <c r="X30">
        <v>0.8</v>
      </c>
    </row>
    <row r="31" spans="11:24" x14ac:dyDescent="0.25">
      <c r="K31" s="33"/>
      <c r="L31" s="33" t="s">
        <v>128</v>
      </c>
      <c r="M31" s="33">
        <v>0.28000000000000003</v>
      </c>
      <c r="N31" s="67">
        <f t="shared" si="0"/>
        <v>0.16800000000000001</v>
      </c>
      <c r="O31" s="33" t="s">
        <v>159</v>
      </c>
      <c r="P31" s="57"/>
      <c r="Q31" s="56" t="s">
        <v>15</v>
      </c>
      <c r="R31" s="68">
        <f>N23</f>
        <v>0.89999999999999991</v>
      </c>
      <c r="S31" s="68">
        <f>N33</f>
        <v>0.89999999999999991</v>
      </c>
      <c r="T31" s="33"/>
      <c r="U31" s="43">
        <v>0.8</v>
      </c>
      <c r="W31">
        <v>0.89999999999999991</v>
      </c>
      <c r="X31">
        <v>0.89999999999999991</v>
      </c>
    </row>
    <row r="32" spans="11:24" x14ac:dyDescent="0.25">
      <c r="K32" s="33"/>
      <c r="L32" s="33" t="s">
        <v>3</v>
      </c>
      <c r="M32" s="33">
        <v>1.3</v>
      </c>
      <c r="N32" s="67">
        <f t="shared" si="0"/>
        <v>0.78</v>
      </c>
      <c r="O32" s="33" t="s">
        <v>12</v>
      </c>
      <c r="P32" s="57"/>
      <c r="Q32" s="56" t="s">
        <v>16</v>
      </c>
      <c r="R32" s="68">
        <f>N24</f>
        <v>1.2</v>
      </c>
      <c r="S32" s="68">
        <f>N34</f>
        <v>1.2</v>
      </c>
      <c r="T32" s="33"/>
      <c r="U32" s="43">
        <v>0.8</v>
      </c>
      <c r="W32">
        <v>1.2</v>
      </c>
      <c r="X32">
        <v>1.2</v>
      </c>
    </row>
    <row r="33" spans="11:24" x14ac:dyDescent="0.25">
      <c r="K33" s="33"/>
      <c r="L33" s="33"/>
      <c r="M33" s="33">
        <v>1.5</v>
      </c>
      <c r="N33" s="67">
        <f t="shared" si="0"/>
        <v>0.89999999999999991</v>
      </c>
      <c r="O33" s="33" t="s">
        <v>15</v>
      </c>
      <c r="P33" s="57"/>
      <c r="Q33" s="56" t="s">
        <v>19</v>
      </c>
      <c r="R33" s="68">
        <f>N25</f>
        <v>0.3</v>
      </c>
      <c r="S33" s="68">
        <f>N35</f>
        <v>0.3</v>
      </c>
      <c r="T33" s="33"/>
      <c r="U33" s="43">
        <v>0.1</v>
      </c>
      <c r="W33">
        <v>0.3</v>
      </c>
      <c r="X33">
        <v>0.3</v>
      </c>
    </row>
    <row r="34" spans="11:24" x14ac:dyDescent="0.25">
      <c r="K34" s="33"/>
      <c r="L34" s="33"/>
      <c r="M34" s="33">
        <v>2</v>
      </c>
      <c r="N34" s="67">
        <f t="shared" si="0"/>
        <v>1.2</v>
      </c>
      <c r="O34" s="33" t="s">
        <v>160</v>
      </c>
      <c r="P34" s="33"/>
      <c r="Q34" s="56"/>
      <c r="R34" s="33"/>
      <c r="S34" s="33"/>
      <c r="T34" s="33"/>
      <c r="U34" s="33"/>
    </row>
    <row r="35" spans="11:24" x14ac:dyDescent="0.25">
      <c r="K35" s="33"/>
      <c r="L35" s="33"/>
      <c r="M35" s="33">
        <v>0.5</v>
      </c>
      <c r="N35" s="67">
        <f t="shared" si="0"/>
        <v>0.3</v>
      </c>
      <c r="O35" s="33" t="s">
        <v>19</v>
      </c>
      <c r="P35" s="57"/>
      <c r="Q35" s="56"/>
      <c r="R35" s="33"/>
      <c r="S35" s="33"/>
      <c r="T35" s="33"/>
      <c r="U35" s="33"/>
    </row>
    <row r="36" spans="11:24" x14ac:dyDescent="0.25">
      <c r="K36" s="33"/>
      <c r="L36" s="33"/>
      <c r="M36" s="33"/>
      <c r="N36" s="33"/>
      <c r="O36" s="33"/>
      <c r="P36" s="57"/>
      <c r="Q36" s="56"/>
      <c r="R36" s="33"/>
      <c r="S36" s="33"/>
      <c r="T36" s="33"/>
      <c r="U36" s="3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2024-11-19T10:30:24Z</cp:lastPrinted>
  <dcterms:created xsi:type="dcterms:W3CDTF">2024-07-08T09:16:04Z</dcterms:created>
  <dcterms:modified xsi:type="dcterms:W3CDTF">2024-12-18T10:16:28Z</dcterms:modified>
</cp:coreProperties>
</file>